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644" documentId="8_{B65B1805-0F74-4D53-BC08-28D313A085AB}" xr6:coauthVersionLast="47" xr6:coauthVersionMax="47" xr10:uidLastSave="{8D688FA1-A4DC-4E37-95CE-9E7A9B64F94A}"/>
  <workbookProtection workbookAlgorithmName="SHA-512" workbookHashValue="GZoDUTjHHWqQWoR39i3DEKF/gVwEVYT8es3Ew9+OBbhBn+8sGxMec+JQzeEdCQNFZa+GytC5Bi4r/V8VuuJmZQ==" workbookSaltValue="fZM8zFkiYoHPiOwtMxg+nw==" workbookSpinCount="100000" lockStructure="1"/>
  <bookViews>
    <workbookView xWindow="-120" yWindow="-120" windowWidth="29040" windowHeight="15720" xr2:uid="{3E288891-C5AD-4F7F-BB38-709082F489FC}"/>
  </bookViews>
  <sheets>
    <sheet name="Samenvatting" sheetId="1" r:id="rId1"/>
    <sheet name="Detailberekening" sheetId="2" r:id="rId2"/>
    <sheet name="Blad3" sheetId="3" state="hidden" r:id="rId3"/>
  </sheets>
  <calcPr calcId="191029" iterate="1" iterateDelta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7" i="1" l="1"/>
  <c r="M16" i="1"/>
  <c r="C23" i="1" l="1"/>
  <c r="M18" i="1" s="1"/>
  <c r="D31" i="3" l="1"/>
  <c r="H39" i="3"/>
  <c r="G39" i="3"/>
  <c r="H37" i="3"/>
  <c r="H36" i="3"/>
  <c r="H35" i="3"/>
  <c r="D30" i="3"/>
  <c r="G37" i="3"/>
  <c r="G36" i="3"/>
  <c r="G35" i="3"/>
  <c r="G34" i="3"/>
  <c r="G4" i="2" l="1"/>
  <c r="G3" i="2"/>
  <c r="I11" i="2" s="1"/>
  <c r="J11" i="2" l="1"/>
  <c r="B11" i="2"/>
  <c r="A11" i="2" s="1"/>
  <c r="H11" i="2" s="1"/>
  <c r="M11" i="2" s="1"/>
  <c r="K11" i="2" l="1"/>
  <c r="L11" i="2" s="1"/>
  <c r="L14" i="3"/>
  <c r="C11" i="2"/>
  <c r="D11" i="2"/>
  <c r="E11" i="2" s="1"/>
  <c r="I12" i="2" l="1"/>
  <c r="J12" i="2" s="1"/>
  <c r="D14" i="3"/>
  <c r="C48" i="1" s="1"/>
  <c r="C14" i="3"/>
  <c r="K14" i="3"/>
  <c r="F11" i="2"/>
  <c r="B12" i="2"/>
  <c r="C33" i="1" l="1"/>
  <c r="D48" i="1"/>
  <c r="E48" i="1" s="1"/>
  <c r="E33" i="1"/>
  <c r="F33" i="1" s="1"/>
  <c r="H33" i="1" s="1"/>
  <c r="G48" i="1"/>
  <c r="H48" i="1" s="1"/>
  <c r="C12" i="2"/>
  <c r="A12" i="2"/>
  <c r="I48" i="1" l="1"/>
  <c r="D12" i="2"/>
  <c r="F12" i="2" s="1"/>
  <c r="H12" i="2"/>
  <c r="M12" i="2" s="1"/>
  <c r="K12" i="2" l="1"/>
  <c r="B13" i="2"/>
  <c r="E12" i="2"/>
  <c r="I13" i="2" l="1"/>
  <c r="J13" i="2" s="1"/>
  <c r="L12" i="2"/>
  <c r="A13" i="2"/>
  <c r="C13" i="2"/>
  <c r="D13" i="2" l="1"/>
  <c r="B14" i="2" s="1"/>
  <c r="H13" i="2"/>
  <c r="M13" i="2" s="1"/>
  <c r="K13" i="2" l="1"/>
  <c r="L13" i="2" s="1"/>
  <c r="E13" i="2"/>
  <c r="C14" i="2"/>
  <c r="A14" i="2"/>
  <c r="F13" i="2"/>
  <c r="I14" i="2" l="1"/>
  <c r="J14" i="2" s="1"/>
  <c r="H14" i="2"/>
  <c r="M14" i="2" s="1"/>
  <c r="D14" i="2"/>
  <c r="B15" i="2" s="1"/>
  <c r="E14" i="2" l="1"/>
  <c r="F14" i="2"/>
  <c r="K14" i="2"/>
  <c r="L14" i="2" s="1"/>
  <c r="A15" i="2"/>
  <c r="C15" i="2"/>
  <c r="I15" i="2" l="1"/>
  <c r="J15" i="2" s="1"/>
  <c r="H15" i="2"/>
  <c r="M15" i="2" s="1"/>
  <c r="D15" i="2"/>
  <c r="B16" i="2" s="1"/>
  <c r="E15" i="2" l="1"/>
  <c r="F15" i="2"/>
  <c r="K15" i="2"/>
  <c r="I16" i="2" s="1"/>
  <c r="J16" i="2" s="1"/>
  <c r="C16" i="2"/>
  <c r="A16" i="2"/>
  <c r="L15" i="2" l="1"/>
  <c r="D16" i="2"/>
  <c r="B17" i="2" s="1"/>
  <c r="H16" i="2"/>
  <c r="M16" i="2" s="1"/>
  <c r="K16" i="2" s="1"/>
  <c r="F16" i="2" l="1"/>
  <c r="E16" i="2"/>
  <c r="L16" i="2"/>
  <c r="I17" i="2"/>
  <c r="J17" i="2" s="1"/>
  <c r="A17" i="2"/>
  <c r="C17" i="2"/>
  <c r="H17" i="2" l="1"/>
  <c r="M17" i="2" s="1"/>
  <c r="K17" i="2" s="1"/>
  <c r="D17" i="2"/>
  <c r="B18" i="2" s="1"/>
  <c r="F17" i="2" l="1"/>
  <c r="E17" i="2"/>
  <c r="C18" i="2"/>
  <c r="A18" i="2"/>
  <c r="L17" i="2"/>
  <c r="I18" i="2"/>
  <c r="J18" i="2" s="1"/>
  <c r="H18" i="2" l="1"/>
  <c r="M18" i="2" s="1"/>
  <c r="K18" i="2" s="1"/>
  <c r="D18" i="2"/>
  <c r="B19" i="2" s="1"/>
  <c r="F18" i="2" l="1"/>
  <c r="E18" i="2"/>
  <c r="I19" i="2"/>
  <c r="J19" i="2" s="1"/>
  <c r="L18" i="2"/>
  <c r="A19" i="2"/>
  <c r="C19" i="2"/>
  <c r="D19" i="2" l="1"/>
  <c r="B20" i="2" s="1"/>
  <c r="H19" i="2"/>
  <c r="M19" i="2" s="1"/>
  <c r="K19" i="2" s="1"/>
  <c r="F19" i="2" l="1"/>
  <c r="E19" i="2"/>
  <c r="I20" i="2"/>
  <c r="J20" i="2" s="1"/>
  <c r="L19" i="2"/>
  <c r="C20" i="2"/>
  <c r="A20" i="2"/>
  <c r="H20" i="2" l="1"/>
  <c r="M20" i="2" s="1"/>
  <c r="K20" i="2" s="1"/>
  <c r="D20" i="2"/>
  <c r="B21" i="2" s="1"/>
  <c r="E20" i="2" l="1"/>
  <c r="F20" i="2"/>
  <c r="I21" i="2"/>
  <c r="J21" i="2" s="1"/>
  <c r="L20" i="2"/>
  <c r="A21" i="2"/>
  <c r="C21" i="2"/>
  <c r="H21" i="2" l="1"/>
  <c r="M21" i="2" s="1"/>
  <c r="K21" i="2" s="1"/>
  <c r="D21" i="2"/>
  <c r="B22" i="2" s="1"/>
  <c r="F21" i="2" l="1"/>
  <c r="L21" i="2"/>
  <c r="I22" i="2"/>
  <c r="J22" i="2" s="1"/>
  <c r="L15" i="3" s="1"/>
  <c r="C22" i="2"/>
  <c r="D15" i="3" s="1"/>
  <c r="A22" i="2"/>
  <c r="E21" i="2"/>
  <c r="E34" i="1" l="1"/>
  <c r="F34" i="1" s="1"/>
  <c r="C49" i="1"/>
  <c r="G49" i="1" s="1"/>
  <c r="H22" i="2"/>
  <c r="M22" i="2" s="1"/>
  <c r="K22" i="2" s="1"/>
  <c r="K15" i="3" s="1"/>
  <c r="D22" i="2"/>
  <c r="F22" i="2" s="1"/>
  <c r="D49" i="1" l="1"/>
  <c r="E49" i="1" s="1"/>
  <c r="E22" i="2"/>
  <c r="H49" i="1"/>
  <c r="I49" i="1" s="1"/>
  <c r="B23" i="2"/>
  <c r="C23" i="2" s="1"/>
  <c r="C15" i="3"/>
  <c r="L22" i="2"/>
  <c r="I23" i="2"/>
  <c r="J23" i="2" s="1"/>
  <c r="C34" i="1" l="1"/>
  <c r="H34" i="1" s="1"/>
  <c r="A23" i="2"/>
  <c r="D23" i="2" s="1"/>
  <c r="B24" i="2" s="1"/>
  <c r="H23" i="2" l="1"/>
  <c r="M23" i="2" s="1"/>
  <c r="K23" i="2" s="1"/>
  <c r="L23" i="2" s="1"/>
  <c r="E23" i="2"/>
  <c r="F23" i="2"/>
  <c r="C24" i="2"/>
  <c r="A24" i="2"/>
  <c r="I24" i="2" l="1"/>
  <c r="J24" i="2" s="1"/>
  <c r="D24" i="2"/>
  <c r="B25" i="2" s="1"/>
  <c r="H24" i="2"/>
  <c r="M24" i="2" s="1"/>
  <c r="K24" i="2" l="1"/>
  <c r="L24" i="2" s="1"/>
  <c r="E24" i="2"/>
  <c r="F24" i="2"/>
  <c r="A25" i="2"/>
  <c r="C25" i="2"/>
  <c r="I25" i="2" l="1"/>
  <c r="J25" i="2" s="1"/>
  <c r="D25" i="2"/>
  <c r="B26" i="2" s="1"/>
  <c r="H25" i="2"/>
  <c r="M25" i="2" s="1"/>
  <c r="K25" i="2" l="1"/>
  <c r="L25" i="2" s="1"/>
  <c r="F25" i="2"/>
  <c r="E25" i="2"/>
  <c r="A26" i="2"/>
  <c r="C26" i="2"/>
  <c r="I26" i="2" l="1"/>
  <c r="J26" i="2" s="1"/>
  <c r="D26" i="2"/>
  <c r="B27" i="2" s="1"/>
  <c r="H26" i="2"/>
  <c r="M26" i="2" s="1"/>
  <c r="K26" i="2" s="1"/>
  <c r="I27" i="2" s="1"/>
  <c r="J27" i="2" s="1"/>
  <c r="F26" i="2" l="1"/>
  <c r="E26" i="2"/>
  <c r="L26" i="2"/>
  <c r="A27" i="2"/>
  <c r="C27" i="2"/>
  <c r="H27" i="2" l="1"/>
  <c r="M27" i="2" s="1"/>
  <c r="K27" i="2" s="1"/>
  <c r="D27" i="2"/>
  <c r="B28" i="2" s="1"/>
  <c r="I28" i="2" l="1"/>
  <c r="J28" i="2" s="1"/>
  <c r="L27" i="2"/>
  <c r="F27" i="2"/>
  <c r="E27" i="2"/>
  <c r="C28" i="2"/>
  <c r="A28" i="2"/>
  <c r="H28" i="2" l="1"/>
  <c r="M28" i="2" s="1"/>
  <c r="K28" i="2" s="1"/>
  <c r="D28" i="2"/>
  <c r="B29" i="2" s="1"/>
  <c r="E28" i="2" l="1"/>
  <c r="F28" i="2"/>
  <c r="A29" i="2"/>
  <c r="C29" i="2"/>
  <c r="L28" i="2"/>
  <c r="I29" i="2"/>
  <c r="J29" i="2" s="1"/>
  <c r="H29" i="2" l="1"/>
  <c r="M29" i="2" s="1"/>
  <c r="K29" i="2" s="1"/>
  <c r="D29" i="2"/>
  <c r="B30" i="2" s="1"/>
  <c r="F29" i="2" l="1"/>
  <c r="E29" i="2"/>
  <c r="I30" i="2"/>
  <c r="J30" i="2" s="1"/>
  <c r="L29" i="2"/>
  <c r="C30" i="2"/>
  <c r="A30" i="2"/>
  <c r="H30" i="2" l="1"/>
  <c r="M30" i="2" s="1"/>
  <c r="K30" i="2" s="1"/>
  <c r="D30" i="2"/>
  <c r="B31" i="2" s="1"/>
  <c r="L30" i="2" l="1"/>
  <c r="I31" i="2"/>
  <c r="J31" i="2" s="1"/>
  <c r="F30" i="2"/>
  <c r="E30" i="2"/>
  <c r="A31" i="2"/>
  <c r="C31" i="2"/>
  <c r="H31" i="2" l="1"/>
  <c r="M31" i="2" s="1"/>
  <c r="K31" i="2" s="1"/>
  <c r="D31" i="2"/>
  <c r="B32" i="2" s="1"/>
  <c r="F31" i="2" l="1"/>
  <c r="E31" i="2"/>
  <c r="C32" i="2"/>
  <c r="A32" i="2"/>
  <c r="L31" i="2"/>
  <c r="I32" i="2"/>
  <c r="J32" i="2" s="1"/>
  <c r="H32" i="2" l="1"/>
  <c r="M32" i="2" s="1"/>
  <c r="K32" i="2" s="1"/>
  <c r="D32" i="2"/>
  <c r="B33" i="2" s="1"/>
  <c r="E32" i="2" l="1"/>
  <c r="F32" i="2"/>
  <c r="I33" i="2"/>
  <c r="J33" i="2" s="1"/>
  <c r="L32" i="2"/>
  <c r="A33" i="2"/>
  <c r="C33" i="2"/>
  <c r="H33" i="2" l="1"/>
  <c r="M33" i="2" s="1"/>
  <c r="K33" i="2" s="1"/>
  <c r="D33" i="2"/>
  <c r="B34" i="2" s="1"/>
  <c r="E33" i="2" l="1"/>
  <c r="F33" i="2"/>
  <c r="L33" i="2"/>
  <c r="I34" i="2"/>
  <c r="J34" i="2" s="1"/>
  <c r="C34" i="2"/>
  <c r="A34" i="2"/>
  <c r="H34" i="2" l="1"/>
  <c r="M34" i="2" s="1"/>
  <c r="K34" i="2" s="1"/>
  <c r="D34" i="2"/>
  <c r="B35" i="2" s="1"/>
  <c r="F34" i="2" l="1"/>
  <c r="C35" i="2"/>
  <c r="A35" i="2"/>
  <c r="L34" i="2"/>
  <c r="I35" i="2"/>
  <c r="J35" i="2" s="1"/>
  <c r="E34" i="2"/>
  <c r="D35" i="2" l="1"/>
  <c r="B36" i="2" s="1"/>
  <c r="H35" i="2"/>
  <c r="M35" i="2" s="1"/>
  <c r="K35" i="2" s="1"/>
  <c r="F35" i="2" l="1"/>
  <c r="E35" i="2"/>
  <c r="I36" i="2"/>
  <c r="J36" i="2" s="1"/>
  <c r="L35" i="2"/>
  <c r="A36" i="2"/>
  <c r="C36" i="2"/>
  <c r="D36" i="2" l="1"/>
  <c r="B37" i="2" s="1"/>
  <c r="H36" i="2"/>
  <c r="M36" i="2" s="1"/>
  <c r="K36" i="2" s="1"/>
  <c r="F36" i="2" l="1"/>
  <c r="E36" i="2"/>
  <c r="L36" i="2"/>
  <c r="I37" i="2"/>
  <c r="J37" i="2" s="1"/>
  <c r="A37" i="2"/>
  <c r="C37" i="2"/>
  <c r="H37" i="2" l="1"/>
  <c r="M37" i="2" s="1"/>
  <c r="K37" i="2" s="1"/>
  <c r="D37" i="2"/>
  <c r="B38" i="2" s="1"/>
  <c r="E37" i="2" l="1"/>
  <c r="F37" i="2"/>
  <c r="L37" i="2"/>
  <c r="I38" i="2"/>
  <c r="J38" i="2" s="1"/>
  <c r="C38" i="2"/>
  <c r="A38" i="2"/>
  <c r="D38" i="2" l="1"/>
  <c r="B39" i="2" s="1"/>
  <c r="H38" i="2"/>
  <c r="M38" i="2" s="1"/>
  <c r="K38" i="2" s="1"/>
  <c r="F38" i="2" l="1"/>
  <c r="E38" i="2"/>
  <c r="I39" i="2"/>
  <c r="J39" i="2" s="1"/>
  <c r="L38" i="2"/>
  <c r="A39" i="2"/>
  <c r="C39" i="2"/>
  <c r="H39" i="2" l="1"/>
  <c r="M39" i="2" s="1"/>
  <c r="K39" i="2" s="1"/>
  <c r="D39" i="2"/>
  <c r="B40" i="2" s="1"/>
  <c r="E39" i="2" l="1"/>
  <c r="A40" i="2"/>
  <c r="C40" i="2"/>
  <c r="L39" i="2"/>
  <c r="I40" i="2"/>
  <c r="J40" i="2" s="1"/>
  <c r="F39" i="2"/>
  <c r="H40" i="2" l="1"/>
  <c r="M40" i="2" s="1"/>
  <c r="K40" i="2" s="1"/>
  <c r="D40" i="2"/>
  <c r="B41" i="2" s="1"/>
  <c r="F40" i="2" l="1"/>
  <c r="E40" i="2"/>
  <c r="L40" i="2"/>
  <c r="I41" i="2"/>
  <c r="J41" i="2" s="1"/>
  <c r="A41" i="2"/>
  <c r="C41" i="2"/>
  <c r="H41" i="2" l="1"/>
  <c r="M41" i="2" s="1"/>
  <c r="K41" i="2" s="1"/>
  <c r="D41" i="2"/>
  <c r="B42" i="2" s="1"/>
  <c r="I42" i="2" l="1"/>
  <c r="J42" i="2" s="1"/>
  <c r="L41" i="2"/>
  <c r="E41" i="2"/>
  <c r="F41" i="2"/>
  <c r="C42" i="2"/>
  <c r="A42" i="2"/>
  <c r="H42" i="2" l="1"/>
  <c r="M42" i="2" s="1"/>
  <c r="K42" i="2" s="1"/>
  <c r="D42" i="2"/>
  <c r="B43" i="2" s="1"/>
  <c r="I43" i="2" l="1"/>
  <c r="J43" i="2" s="1"/>
  <c r="L42" i="2"/>
  <c r="F42" i="2"/>
  <c r="E42" i="2"/>
  <c r="C43" i="2"/>
  <c r="A43" i="2"/>
  <c r="D43" i="2" l="1"/>
  <c r="B44" i="2" s="1"/>
  <c r="H43" i="2"/>
  <c r="M43" i="2" s="1"/>
  <c r="K43" i="2" s="1"/>
  <c r="E43" i="2" l="1"/>
  <c r="F43" i="2"/>
  <c r="I44" i="2"/>
  <c r="J44" i="2" s="1"/>
  <c r="L43" i="2"/>
  <c r="A44" i="2"/>
  <c r="C44" i="2"/>
  <c r="H44" i="2" l="1"/>
  <c r="M44" i="2" s="1"/>
  <c r="K44" i="2" s="1"/>
  <c r="D44" i="2"/>
  <c r="B45" i="2" s="1"/>
  <c r="I45" i="2" l="1"/>
  <c r="J45" i="2" s="1"/>
  <c r="L44" i="2"/>
  <c r="E44" i="2"/>
  <c r="F44" i="2"/>
  <c r="C45" i="2"/>
  <c r="A45" i="2"/>
  <c r="D45" i="2" l="1"/>
  <c r="B46" i="2" s="1"/>
  <c r="H45" i="2"/>
  <c r="M45" i="2" s="1"/>
  <c r="K45" i="2" s="1"/>
  <c r="F45" i="2" l="1"/>
  <c r="E45" i="2"/>
  <c r="I46" i="2"/>
  <c r="J46" i="2" s="1"/>
  <c r="L45" i="2"/>
  <c r="C46" i="2"/>
  <c r="A46" i="2"/>
  <c r="H46" i="2" l="1"/>
  <c r="M46" i="2" s="1"/>
  <c r="K46" i="2" s="1"/>
  <c r="D46" i="2"/>
  <c r="B47" i="2" s="1"/>
  <c r="A47" i="2" l="1"/>
  <c r="C47" i="2"/>
  <c r="I47" i="2"/>
  <c r="J47" i="2" s="1"/>
  <c r="L46" i="2"/>
  <c r="F46" i="2"/>
  <c r="E46" i="2"/>
  <c r="H47" i="2" l="1"/>
  <c r="M47" i="2" s="1"/>
  <c r="K47" i="2" s="1"/>
  <c r="D47" i="2"/>
  <c r="B48" i="2" s="1"/>
  <c r="E47" i="2" l="1"/>
  <c r="F47" i="2"/>
  <c r="L47" i="2"/>
  <c r="I48" i="2"/>
  <c r="J48" i="2" s="1"/>
  <c r="C48" i="2"/>
  <c r="A48" i="2"/>
  <c r="D48" i="2" l="1"/>
  <c r="B49" i="2" s="1"/>
  <c r="H48" i="2"/>
  <c r="M48" i="2" s="1"/>
  <c r="K48" i="2" s="1"/>
  <c r="E48" i="2" l="1"/>
  <c r="F48" i="2"/>
  <c r="I49" i="2"/>
  <c r="J49" i="2" s="1"/>
  <c r="L48" i="2"/>
  <c r="A49" i="2"/>
  <c r="C49" i="2"/>
  <c r="D49" i="2" l="1"/>
  <c r="B50" i="2" s="1"/>
  <c r="H49" i="2"/>
  <c r="M49" i="2" s="1"/>
  <c r="K49" i="2" s="1"/>
  <c r="E49" i="2" l="1"/>
  <c r="F49" i="2"/>
  <c r="L49" i="2"/>
  <c r="I50" i="2"/>
  <c r="J50" i="2" s="1"/>
  <c r="A50" i="2"/>
  <c r="C50" i="2"/>
  <c r="H50" i="2" l="1"/>
  <c r="M50" i="2" s="1"/>
  <c r="K50" i="2" s="1"/>
  <c r="D50" i="2"/>
  <c r="B51" i="2" s="1"/>
  <c r="F50" i="2" l="1"/>
  <c r="E50" i="2"/>
  <c r="I51" i="2"/>
  <c r="J51" i="2" s="1"/>
  <c r="L50" i="2"/>
  <c r="A51" i="2"/>
  <c r="C51" i="2"/>
  <c r="H51" i="2" l="1"/>
  <c r="M51" i="2" s="1"/>
  <c r="K51" i="2" s="1"/>
  <c r="D51" i="2"/>
  <c r="B52" i="2" s="1"/>
  <c r="E51" i="2" l="1"/>
  <c r="F51" i="2"/>
  <c r="C52" i="2"/>
  <c r="A52" i="2"/>
  <c r="I52" i="2"/>
  <c r="J52" i="2" s="1"/>
  <c r="L51" i="2"/>
  <c r="H52" i="2" l="1"/>
  <c r="M52" i="2" s="1"/>
  <c r="K52" i="2" s="1"/>
  <c r="D52" i="2"/>
  <c r="B53" i="2" s="1"/>
  <c r="E52" i="2" l="1"/>
  <c r="F52" i="2"/>
  <c r="L52" i="2"/>
  <c r="I53" i="2"/>
  <c r="J53" i="2" s="1"/>
  <c r="A53" i="2"/>
  <c r="C53" i="2"/>
  <c r="H53" i="2" l="1"/>
  <c r="M53" i="2" s="1"/>
  <c r="K53" i="2" s="1"/>
  <c r="D53" i="2"/>
  <c r="B54" i="2" s="1"/>
  <c r="E53" i="2" l="1"/>
  <c r="F53" i="2"/>
  <c r="I54" i="2"/>
  <c r="J54" i="2" s="1"/>
  <c r="L53" i="2"/>
  <c r="C54" i="2"/>
  <c r="A54" i="2"/>
  <c r="H54" i="2" l="1"/>
  <c r="M54" i="2" s="1"/>
  <c r="K54" i="2" s="1"/>
  <c r="D54" i="2"/>
  <c r="B55" i="2" s="1"/>
  <c r="E54" i="2" l="1"/>
  <c r="I55" i="2"/>
  <c r="J55" i="2" s="1"/>
  <c r="L54" i="2"/>
  <c r="F54" i="2"/>
  <c r="C55" i="2"/>
  <c r="A55" i="2"/>
  <c r="D55" i="2" l="1"/>
  <c r="B56" i="2" s="1"/>
  <c r="H55" i="2"/>
  <c r="M55" i="2" s="1"/>
  <c r="K55" i="2" s="1"/>
  <c r="F55" i="2" l="1"/>
  <c r="L55" i="2"/>
  <c r="I56" i="2"/>
  <c r="J56" i="2" s="1"/>
  <c r="E55" i="2"/>
  <c r="C56" i="2"/>
  <c r="A56" i="2"/>
  <c r="D56" i="2" l="1"/>
  <c r="B57" i="2" s="1"/>
  <c r="H56" i="2"/>
  <c r="M56" i="2" s="1"/>
  <c r="K56" i="2" s="1"/>
  <c r="E56" i="2" l="1"/>
  <c r="F56" i="2"/>
  <c r="I57" i="2"/>
  <c r="J57" i="2" s="1"/>
  <c r="L56" i="2"/>
  <c r="A57" i="2"/>
  <c r="C57" i="2"/>
  <c r="H57" i="2" l="1"/>
  <c r="M57" i="2" s="1"/>
  <c r="K57" i="2" s="1"/>
  <c r="D57" i="2"/>
  <c r="B58" i="2" s="1"/>
  <c r="E57" i="2" l="1"/>
  <c r="F57" i="2"/>
  <c r="L57" i="2"/>
  <c r="I58" i="2"/>
  <c r="J58" i="2" s="1"/>
  <c r="A58" i="2"/>
  <c r="C58" i="2"/>
  <c r="D58" i="2" l="1"/>
  <c r="B59" i="2" s="1"/>
  <c r="H58" i="2"/>
  <c r="M58" i="2" s="1"/>
  <c r="K58" i="2" s="1"/>
  <c r="E58" i="2" l="1"/>
  <c r="F58" i="2"/>
  <c r="I59" i="2"/>
  <c r="J59" i="2" s="1"/>
  <c r="L58" i="2"/>
  <c r="C59" i="2"/>
  <c r="A59" i="2"/>
  <c r="H59" i="2" l="1"/>
  <c r="M59" i="2" s="1"/>
  <c r="K59" i="2" s="1"/>
  <c r="D59" i="2"/>
  <c r="B60" i="2" s="1"/>
  <c r="A60" i="2" l="1"/>
  <c r="C60" i="2"/>
  <c r="L59" i="2"/>
  <c r="I60" i="2"/>
  <c r="J60" i="2" s="1"/>
  <c r="F59" i="2"/>
  <c r="E59" i="2"/>
  <c r="H60" i="2" l="1"/>
  <c r="M60" i="2" s="1"/>
  <c r="K60" i="2" s="1"/>
  <c r="D60" i="2"/>
  <c r="B61" i="2" s="1"/>
  <c r="F60" i="2" l="1"/>
  <c r="E60" i="2"/>
  <c r="L60" i="2"/>
  <c r="I61" i="2"/>
  <c r="J61" i="2" s="1"/>
  <c r="A61" i="2"/>
  <c r="C61" i="2"/>
  <c r="D61" i="2" l="1"/>
  <c r="B62" i="2" s="1"/>
  <c r="H61" i="2"/>
  <c r="M61" i="2" s="1"/>
  <c r="K61" i="2" s="1"/>
  <c r="E61" i="2" l="1"/>
  <c r="F61" i="2"/>
  <c r="L61" i="2"/>
  <c r="I62" i="2"/>
  <c r="J62" i="2" s="1"/>
  <c r="C62" i="2"/>
  <c r="A62" i="2"/>
  <c r="H62" i="2" l="1"/>
  <c r="M62" i="2" s="1"/>
  <c r="K62" i="2" s="1"/>
  <c r="D62" i="2"/>
  <c r="B63" i="2" s="1"/>
  <c r="E62" i="2" l="1"/>
  <c r="F62" i="2"/>
  <c r="I63" i="2"/>
  <c r="J63" i="2" s="1"/>
  <c r="L62" i="2"/>
  <c r="A63" i="2"/>
  <c r="C63" i="2"/>
  <c r="D63" i="2" l="1"/>
  <c r="B64" i="2" s="1"/>
  <c r="H63" i="2"/>
  <c r="M63" i="2" s="1"/>
  <c r="K63" i="2" s="1"/>
  <c r="F63" i="2" l="1"/>
  <c r="L63" i="2"/>
  <c r="I64" i="2"/>
  <c r="J64" i="2" s="1"/>
  <c r="E63" i="2"/>
  <c r="C64" i="2"/>
  <c r="A64" i="2"/>
  <c r="H64" i="2" l="1"/>
  <c r="M64" i="2" s="1"/>
  <c r="K64" i="2" s="1"/>
  <c r="D64" i="2"/>
  <c r="B65" i="2" s="1"/>
  <c r="F64" i="2" l="1"/>
  <c r="E64" i="2"/>
  <c r="L64" i="2"/>
  <c r="I65" i="2"/>
  <c r="J65" i="2" s="1"/>
  <c r="C65" i="2"/>
  <c r="A65" i="2"/>
  <c r="H65" i="2" l="1"/>
  <c r="M65" i="2" s="1"/>
  <c r="K65" i="2" s="1"/>
  <c r="D65" i="2"/>
  <c r="B66" i="2" s="1"/>
  <c r="F65" i="2" l="1"/>
  <c r="A66" i="2"/>
  <c r="C66" i="2"/>
  <c r="I66" i="2"/>
  <c r="J66" i="2" s="1"/>
  <c r="L65" i="2"/>
  <c r="E65" i="2"/>
  <c r="H66" i="2" l="1"/>
  <c r="M66" i="2" s="1"/>
  <c r="K66" i="2" s="1"/>
  <c r="D66" i="2"/>
  <c r="B67" i="2" s="1"/>
  <c r="F66" i="2" l="1"/>
  <c r="E66" i="2"/>
  <c r="I67" i="2"/>
  <c r="J67" i="2" s="1"/>
  <c r="L66" i="2"/>
  <c r="C67" i="2"/>
  <c r="A67" i="2"/>
  <c r="D67" i="2" l="1"/>
  <c r="B68" i="2" s="1"/>
  <c r="H67" i="2"/>
  <c r="M67" i="2" s="1"/>
  <c r="K67" i="2" s="1"/>
  <c r="F67" i="2" l="1"/>
  <c r="E67" i="2"/>
  <c r="L67" i="2"/>
  <c r="I68" i="2"/>
  <c r="J68" i="2" s="1"/>
  <c r="A68" i="2"/>
  <c r="C68" i="2"/>
  <c r="H68" i="2" l="1"/>
  <c r="M68" i="2" s="1"/>
  <c r="K68" i="2" s="1"/>
  <c r="D68" i="2"/>
  <c r="B69" i="2" s="1"/>
  <c r="F68" i="2" l="1"/>
  <c r="E68" i="2"/>
  <c r="L68" i="2"/>
  <c r="I69" i="2"/>
  <c r="J69" i="2" s="1"/>
  <c r="C69" i="2"/>
  <c r="A69" i="2"/>
  <c r="H69" i="2" l="1"/>
  <c r="M69" i="2" s="1"/>
  <c r="K69" i="2" s="1"/>
  <c r="D69" i="2"/>
  <c r="B70" i="2" s="1"/>
  <c r="L69" i="2" l="1"/>
  <c r="I70" i="2"/>
  <c r="J70" i="2" s="1"/>
  <c r="E69" i="2"/>
  <c r="A70" i="2"/>
  <c r="C70" i="2"/>
  <c r="F69" i="2"/>
  <c r="D70" i="2" l="1"/>
  <c r="B71" i="2" s="1"/>
  <c r="H70" i="2"/>
  <c r="M70" i="2" s="1"/>
  <c r="K70" i="2" s="1"/>
  <c r="F70" i="2" l="1"/>
  <c r="E70" i="2"/>
  <c r="L70" i="2"/>
  <c r="I71" i="2"/>
  <c r="J71" i="2" s="1"/>
  <c r="C71" i="2"/>
  <c r="A71" i="2"/>
  <c r="D71" i="2" l="1"/>
  <c r="B72" i="2" s="1"/>
  <c r="H71" i="2"/>
  <c r="M71" i="2" s="1"/>
  <c r="K71" i="2" s="1"/>
  <c r="E71" i="2" l="1"/>
  <c r="F71" i="2"/>
  <c r="L71" i="2"/>
  <c r="I72" i="2"/>
  <c r="J72" i="2" s="1"/>
  <c r="A72" i="2"/>
  <c r="C72" i="2"/>
  <c r="H72" i="2" l="1"/>
  <c r="M72" i="2" s="1"/>
  <c r="K72" i="2" s="1"/>
  <c r="D72" i="2"/>
  <c r="B73" i="2" s="1"/>
  <c r="F72" i="2" l="1"/>
  <c r="E72" i="2"/>
  <c r="L72" i="2"/>
  <c r="I73" i="2"/>
  <c r="J73" i="2" s="1"/>
  <c r="A73" i="2"/>
  <c r="C73" i="2"/>
  <c r="H73" i="2" l="1"/>
  <c r="M73" i="2" s="1"/>
  <c r="K73" i="2" s="1"/>
  <c r="D73" i="2"/>
  <c r="B74" i="2" s="1"/>
  <c r="F73" i="2" l="1"/>
  <c r="E73" i="2"/>
  <c r="I74" i="2"/>
  <c r="J74" i="2" s="1"/>
  <c r="L73" i="2"/>
  <c r="A74" i="2"/>
  <c r="C74" i="2"/>
  <c r="H74" i="2" l="1"/>
  <c r="M74" i="2" s="1"/>
  <c r="K74" i="2" s="1"/>
  <c r="D74" i="2"/>
  <c r="B75" i="2" s="1"/>
  <c r="L74" i="2" l="1"/>
  <c r="I75" i="2"/>
  <c r="J75" i="2" s="1"/>
  <c r="F74" i="2"/>
  <c r="E74" i="2"/>
  <c r="A75" i="2"/>
  <c r="C75" i="2"/>
  <c r="D75" i="2" l="1"/>
  <c r="B76" i="2" s="1"/>
  <c r="H75" i="2"/>
  <c r="M75" i="2" s="1"/>
  <c r="K75" i="2" s="1"/>
  <c r="F75" i="2" l="1"/>
  <c r="E75" i="2"/>
  <c r="I76" i="2"/>
  <c r="J76" i="2" s="1"/>
  <c r="L75" i="2"/>
  <c r="A76" i="2"/>
  <c r="C76" i="2"/>
  <c r="D76" i="2" l="1"/>
  <c r="B77" i="2" s="1"/>
  <c r="H76" i="2"/>
  <c r="M76" i="2" s="1"/>
  <c r="K76" i="2" s="1"/>
  <c r="E76" i="2" l="1"/>
  <c r="L76" i="2"/>
  <c r="I77" i="2"/>
  <c r="J77" i="2" s="1"/>
  <c r="F76" i="2"/>
  <c r="A77" i="2"/>
  <c r="C77" i="2"/>
  <c r="D77" i="2" l="1"/>
  <c r="B78" i="2" s="1"/>
  <c r="H77" i="2"/>
  <c r="M77" i="2" s="1"/>
  <c r="K77" i="2" s="1"/>
  <c r="E77" i="2" l="1"/>
  <c r="F77" i="2"/>
  <c r="L77" i="2"/>
  <c r="I78" i="2"/>
  <c r="J78" i="2" s="1"/>
  <c r="C78" i="2"/>
  <c r="A78" i="2"/>
  <c r="H78" i="2" l="1"/>
  <c r="M78" i="2" s="1"/>
  <c r="K78" i="2" s="1"/>
  <c r="D78" i="2"/>
  <c r="B79" i="2" s="1"/>
  <c r="F78" i="2" l="1"/>
  <c r="E78" i="2"/>
  <c r="A79" i="2"/>
  <c r="C79" i="2"/>
  <c r="I79" i="2"/>
  <c r="J79" i="2" s="1"/>
  <c r="L78" i="2"/>
  <c r="D79" i="2" l="1"/>
  <c r="B80" i="2" s="1"/>
  <c r="H79" i="2"/>
  <c r="M79" i="2" s="1"/>
  <c r="K79" i="2" s="1"/>
  <c r="E79" i="2" l="1"/>
  <c r="F79" i="2"/>
  <c r="L79" i="2"/>
  <c r="I80" i="2"/>
  <c r="J80" i="2" s="1"/>
  <c r="C80" i="2"/>
  <c r="A80" i="2"/>
  <c r="H80" i="2" l="1"/>
  <c r="M80" i="2" s="1"/>
  <c r="K80" i="2" s="1"/>
  <c r="D80" i="2"/>
  <c r="B81" i="2" s="1"/>
  <c r="F80" i="2" l="1"/>
  <c r="L80" i="2"/>
  <c r="I81" i="2"/>
  <c r="J81" i="2" s="1"/>
  <c r="E80" i="2"/>
  <c r="C81" i="2"/>
  <c r="A81" i="2"/>
  <c r="D81" i="2" l="1"/>
  <c r="B82" i="2" s="1"/>
  <c r="H81" i="2"/>
  <c r="M81" i="2" s="1"/>
  <c r="K81" i="2" s="1"/>
  <c r="F81" i="2" l="1"/>
  <c r="E81" i="2"/>
  <c r="I82" i="2"/>
  <c r="J82" i="2" s="1"/>
  <c r="L81" i="2"/>
  <c r="C82" i="2"/>
  <c r="A82" i="2"/>
  <c r="H82" i="2" l="1"/>
  <c r="M82" i="2" s="1"/>
  <c r="K82" i="2" s="1"/>
  <c r="D82" i="2"/>
  <c r="B83" i="2" s="1"/>
  <c r="F82" i="2" l="1"/>
  <c r="I83" i="2"/>
  <c r="J83" i="2" s="1"/>
  <c r="L82" i="2"/>
  <c r="E82" i="2"/>
  <c r="A83" i="2"/>
  <c r="C83" i="2"/>
  <c r="D83" i="2" l="1"/>
  <c r="B84" i="2" s="1"/>
  <c r="H83" i="2"/>
  <c r="M83" i="2" s="1"/>
  <c r="K83" i="2" s="1"/>
  <c r="E83" i="2" l="1"/>
  <c r="F83" i="2"/>
  <c r="L83" i="2"/>
  <c r="I84" i="2"/>
  <c r="J84" i="2" s="1"/>
  <c r="A84" i="2"/>
  <c r="C84" i="2"/>
  <c r="H84" i="2" l="1"/>
  <c r="M84" i="2" s="1"/>
  <c r="K84" i="2" s="1"/>
  <c r="D84" i="2"/>
  <c r="B85" i="2" s="1"/>
  <c r="I85" i="2" l="1"/>
  <c r="J85" i="2" s="1"/>
  <c r="L84" i="2"/>
  <c r="E84" i="2"/>
  <c r="F84" i="2"/>
  <c r="A85" i="2"/>
  <c r="C85" i="2"/>
  <c r="H85" i="2" l="1"/>
  <c r="M85" i="2" s="1"/>
  <c r="K85" i="2" s="1"/>
  <c r="D85" i="2"/>
  <c r="B86" i="2" s="1"/>
  <c r="E85" i="2" l="1"/>
  <c r="F85" i="2"/>
  <c r="A86" i="2"/>
  <c r="C86" i="2"/>
  <c r="L85" i="2"/>
  <c r="I86" i="2"/>
  <c r="J86" i="2" s="1"/>
  <c r="D86" i="2" l="1"/>
  <c r="B87" i="2" s="1"/>
  <c r="H86" i="2"/>
  <c r="M86" i="2" s="1"/>
  <c r="K86" i="2" s="1"/>
  <c r="F86" i="2"/>
  <c r="E86" i="2" l="1"/>
  <c r="A87" i="2"/>
  <c r="C87" i="2"/>
  <c r="L86" i="2"/>
  <c r="I87" i="2"/>
  <c r="J87" i="2" s="1"/>
  <c r="D87" i="2" l="1"/>
  <c r="B88" i="2" s="1"/>
  <c r="H87" i="2"/>
  <c r="M87" i="2" s="1"/>
  <c r="K87" i="2" s="1"/>
  <c r="F87" i="2" l="1"/>
  <c r="I88" i="2"/>
  <c r="J88" i="2" s="1"/>
  <c r="L87" i="2"/>
  <c r="E87" i="2"/>
  <c r="C88" i="2"/>
  <c r="A88" i="2"/>
  <c r="H88" i="2" l="1"/>
  <c r="M88" i="2" s="1"/>
  <c r="K88" i="2" s="1"/>
  <c r="D88" i="2"/>
  <c r="B89" i="2" s="1"/>
  <c r="E88" i="2" l="1"/>
  <c r="F88" i="2"/>
  <c r="L88" i="2"/>
  <c r="I89" i="2"/>
  <c r="J89" i="2" s="1"/>
  <c r="A89" i="2"/>
  <c r="C89" i="2"/>
  <c r="H89" i="2" l="1"/>
  <c r="M89" i="2" s="1"/>
  <c r="K89" i="2" s="1"/>
  <c r="D89" i="2"/>
  <c r="B90" i="2" s="1"/>
  <c r="F89" i="2" l="1"/>
  <c r="E89" i="2"/>
  <c r="I90" i="2"/>
  <c r="J90" i="2" s="1"/>
  <c r="L89" i="2"/>
  <c r="A90" i="2"/>
  <c r="C90" i="2"/>
  <c r="H90" i="2" l="1"/>
  <c r="M90" i="2" s="1"/>
  <c r="K90" i="2" s="1"/>
  <c r="D90" i="2"/>
  <c r="B91" i="2" s="1"/>
  <c r="F90" i="2" l="1"/>
  <c r="E90" i="2"/>
  <c r="L90" i="2"/>
  <c r="I91" i="2"/>
  <c r="J91" i="2" s="1"/>
  <c r="A91" i="2"/>
  <c r="C91" i="2"/>
  <c r="D91" i="2" l="1"/>
  <c r="B92" i="2" s="1"/>
  <c r="H91" i="2"/>
  <c r="M91" i="2" s="1"/>
  <c r="K91" i="2" s="1"/>
  <c r="L91" i="2" l="1"/>
  <c r="I92" i="2"/>
  <c r="J92" i="2" s="1"/>
  <c r="E91" i="2"/>
  <c r="A92" i="2"/>
  <c r="C92" i="2"/>
  <c r="F91" i="2"/>
  <c r="H92" i="2" l="1"/>
  <c r="M92" i="2" s="1"/>
  <c r="K92" i="2" s="1"/>
  <c r="D92" i="2"/>
  <c r="B93" i="2" s="1"/>
  <c r="F92" i="2" l="1"/>
  <c r="A93" i="2"/>
  <c r="C93" i="2"/>
  <c r="L92" i="2"/>
  <c r="I93" i="2"/>
  <c r="J93" i="2" s="1"/>
  <c r="E92" i="2"/>
  <c r="H93" i="2" l="1"/>
  <c r="M93" i="2" s="1"/>
  <c r="K93" i="2" s="1"/>
  <c r="D93" i="2"/>
  <c r="B94" i="2" s="1"/>
  <c r="F93" i="2" l="1"/>
  <c r="E93" i="2"/>
  <c r="L93" i="2"/>
  <c r="I94" i="2"/>
  <c r="J94" i="2" s="1"/>
  <c r="A94" i="2"/>
  <c r="C94" i="2"/>
  <c r="H94" i="2" l="1"/>
  <c r="M94" i="2" s="1"/>
  <c r="K94" i="2" s="1"/>
  <c r="D94" i="2"/>
  <c r="B95" i="2" s="1"/>
  <c r="L94" i="2" l="1"/>
  <c r="I95" i="2"/>
  <c r="J95" i="2" s="1"/>
  <c r="E94" i="2"/>
  <c r="F94" i="2"/>
  <c r="C95" i="2"/>
  <c r="A95" i="2"/>
  <c r="D95" i="2" l="1"/>
  <c r="B96" i="2" s="1"/>
  <c r="H95" i="2"/>
  <c r="M95" i="2" s="1"/>
  <c r="K95" i="2" s="1"/>
  <c r="F95" i="2" l="1"/>
  <c r="I96" i="2"/>
  <c r="J96" i="2" s="1"/>
  <c r="L95" i="2"/>
  <c r="A96" i="2"/>
  <c r="C96" i="2"/>
  <c r="E95" i="2"/>
  <c r="D96" i="2" l="1"/>
  <c r="B97" i="2" s="1"/>
  <c r="H96" i="2"/>
  <c r="M96" i="2" s="1"/>
  <c r="K96" i="2" s="1"/>
  <c r="E96" i="2" l="1"/>
  <c r="F96" i="2"/>
  <c r="I97" i="2"/>
  <c r="J97" i="2" s="1"/>
  <c r="L96" i="2"/>
  <c r="A97" i="2"/>
  <c r="C97" i="2"/>
  <c r="H97" i="2" l="1"/>
  <c r="M97" i="2" s="1"/>
  <c r="K97" i="2" s="1"/>
  <c r="D97" i="2"/>
  <c r="B98" i="2" s="1"/>
  <c r="E97" i="2" l="1"/>
  <c r="F97" i="2"/>
  <c r="I98" i="2"/>
  <c r="J98" i="2" s="1"/>
  <c r="L97" i="2"/>
  <c r="A98" i="2"/>
  <c r="C98" i="2"/>
  <c r="H98" i="2" l="1"/>
  <c r="M98" i="2" s="1"/>
  <c r="K98" i="2" s="1"/>
  <c r="D98" i="2"/>
  <c r="B99" i="2" s="1"/>
  <c r="E98" i="2" l="1"/>
  <c r="F98" i="2"/>
  <c r="I99" i="2"/>
  <c r="J99" i="2" s="1"/>
  <c r="L98" i="2"/>
  <c r="A99" i="2"/>
  <c r="C99" i="2"/>
  <c r="D99" i="2" l="1"/>
  <c r="B100" i="2" s="1"/>
  <c r="H99" i="2"/>
  <c r="M99" i="2" s="1"/>
  <c r="K99" i="2" s="1"/>
  <c r="E99" i="2" l="1"/>
  <c r="F99" i="2"/>
  <c r="L99" i="2"/>
  <c r="I100" i="2"/>
  <c r="J100" i="2" s="1"/>
  <c r="A100" i="2"/>
  <c r="C100" i="2"/>
  <c r="D100" i="2" l="1"/>
  <c r="B101" i="2" s="1"/>
  <c r="H100" i="2"/>
  <c r="M100" i="2" s="1"/>
  <c r="K100" i="2" s="1"/>
  <c r="E100" i="2" l="1"/>
  <c r="F100" i="2"/>
  <c r="L100" i="2"/>
  <c r="I101" i="2"/>
  <c r="J101" i="2" s="1"/>
  <c r="A101" i="2"/>
  <c r="C101" i="2"/>
  <c r="H101" i="2" l="1"/>
  <c r="M101" i="2" s="1"/>
  <c r="K101" i="2" s="1"/>
  <c r="D101" i="2"/>
  <c r="B102" i="2" s="1"/>
  <c r="F101" i="2" l="1"/>
  <c r="I102" i="2"/>
  <c r="J102" i="2" s="1"/>
  <c r="L101" i="2"/>
  <c r="E101" i="2"/>
  <c r="C102" i="2"/>
  <c r="A102" i="2"/>
  <c r="D102" i="2" l="1"/>
  <c r="B103" i="2" s="1"/>
  <c r="H102" i="2"/>
  <c r="M102" i="2" s="1"/>
  <c r="K102" i="2" s="1"/>
  <c r="E102" i="2" l="1"/>
  <c r="F102" i="2"/>
  <c r="I103" i="2"/>
  <c r="L102" i="2"/>
  <c r="A103" i="2"/>
  <c r="C103" i="2"/>
  <c r="D103" i="2" l="1"/>
  <c r="B104" i="2" s="1"/>
  <c r="H103" i="2"/>
  <c r="M103" i="2" s="1"/>
  <c r="J103" i="2"/>
  <c r="F103" i="2" l="1"/>
  <c r="E103" i="2"/>
  <c r="K103" i="2"/>
  <c r="A104" i="2"/>
  <c r="C104" i="2"/>
  <c r="D104" i="2" l="1"/>
  <c r="B105" i="2" s="1"/>
  <c r="H104" i="2"/>
  <c r="M104" i="2" s="1"/>
  <c r="L103" i="2"/>
  <c r="I104" i="2"/>
  <c r="F104" i="2" l="1"/>
  <c r="J104" i="2"/>
  <c r="K104" i="2" s="1"/>
  <c r="L104" i="2" s="1"/>
  <c r="E104" i="2"/>
  <c r="C105" i="2"/>
  <c r="A105" i="2"/>
  <c r="D105" i="2" l="1"/>
  <c r="B106" i="2" s="1"/>
  <c r="H105" i="2"/>
  <c r="M105" i="2" s="1"/>
  <c r="I105" i="2"/>
  <c r="E105" i="2" l="1"/>
  <c r="F105" i="2"/>
  <c r="J105" i="2"/>
  <c r="K105" i="2" s="1"/>
  <c r="C106" i="2"/>
  <c r="A106" i="2"/>
  <c r="L105" i="2" l="1"/>
  <c r="I106" i="2"/>
  <c r="H106" i="2"/>
  <c r="M106" i="2" s="1"/>
  <c r="D106" i="2"/>
  <c r="B107" i="2" s="1"/>
  <c r="E106" i="2" l="1"/>
  <c r="F106" i="2"/>
  <c r="A107" i="2"/>
  <c r="C107" i="2"/>
  <c r="J106" i="2"/>
  <c r="K106" i="2" s="1"/>
  <c r="I107" i="2" l="1"/>
  <c r="L106" i="2"/>
  <c r="D107" i="2"/>
  <c r="B108" i="2" s="1"/>
  <c r="H107" i="2"/>
  <c r="M107" i="2" s="1"/>
  <c r="F107" i="2" l="1"/>
  <c r="E107" i="2"/>
  <c r="A108" i="2"/>
  <c r="C108" i="2"/>
  <c r="J107" i="2"/>
  <c r="K107" i="2" s="1"/>
  <c r="I108" i="2" s="1"/>
  <c r="J108" i="2" l="1"/>
  <c r="L107" i="2"/>
  <c r="D108" i="2"/>
  <c r="B109" i="2" s="1"/>
  <c r="H108" i="2"/>
  <c r="M108" i="2" s="1"/>
  <c r="E108" i="2" l="1"/>
  <c r="K108" i="2"/>
  <c r="L108" i="2" s="1"/>
  <c r="F108" i="2"/>
  <c r="A109" i="2"/>
  <c r="C109" i="2"/>
  <c r="I109" i="2" l="1"/>
  <c r="J109" i="2" s="1"/>
  <c r="D109" i="2"/>
  <c r="B110" i="2" s="1"/>
  <c r="H109" i="2"/>
  <c r="M109" i="2" s="1"/>
  <c r="E109" i="2"/>
  <c r="F109" i="2"/>
  <c r="K109" i="2" l="1"/>
  <c r="I110" i="2" s="1"/>
  <c r="J110" i="2" s="1"/>
  <c r="A110" i="2"/>
  <c r="C110" i="2"/>
  <c r="L109" i="2" l="1"/>
  <c r="D110" i="2"/>
  <c r="B111" i="2" s="1"/>
  <c r="H110" i="2"/>
  <c r="M110" i="2" s="1"/>
  <c r="K110" i="2" s="1"/>
  <c r="E110" i="2" l="1"/>
  <c r="F110" i="2"/>
  <c r="I111" i="2"/>
  <c r="L110" i="2"/>
  <c r="C111" i="2"/>
  <c r="A111" i="2"/>
  <c r="D111" i="2" l="1"/>
  <c r="B112" i="2" s="1"/>
  <c r="H111" i="2"/>
  <c r="M111" i="2" s="1"/>
  <c r="J111" i="2"/>
  <c r="F111" i="2" l="1"/>
  <c r="E111" i="2"/>
  <c r="K111" i="2"/>
  <c r="C112" i="2"/>
  <c r="A112" i="2"/>
  <c r="H112" i="2" l="1"/>
  <c r="M112" i="2" s="1"/>
  <c r="D112" i="2"/>
  <c r="B113" i="2" s="1"/>
  <c r="L111" i="2"/>
  <c r="I112" i="2"/>
  <c r="E112" i="2" l="1"/>
  <c r="F112" i="2"/>
  <c r="J112" i="2"/>
  <c r="K112" i="2" s="1"/>
  <c r="L112" i="2" s="1"/>
  <c r="A113" i="2"/>
  <c r="C113" i="2"/>
  <c r="I113" i="2" l="1"/>
  <c r="H113" i="2"/>
  <c r="M113" i="2" s="1"/>
  <c r="D113" i="2"/>
  <c r="B114" i="2" s="1"/>
  <c r="E113" i="2" l="1"/>
  <c r="A114" i="2"/>
  <c r="C114" i="2"/>
  <c r="F113" i="2"/>
  <c r="J113" i="2"/>
  <c r="K113" i="2" s="1"/>
  <c r="L113" i="2" l="1"/>
  <c r="I114" i="2"/>
  <c r="H114" i="2"/>
  <c r="M114" i="2" s="1"/>
  <c r="D114" i="2"/>
  <c r="B115" i="2" s="1"/>
  <c r="E114" i="2" l="1"/>
  <c r="F114" i="2"/>
  <c r="C115" i="2"/>
  <c r="A115" i="2"/>
  <c r="J114" i="2"/>
  <c r="K114" i="2" s="1"/>
  <c r="L114" i="2" l="1"/>
  <c r="I115" i="2"/>
  <c r="D115" i="2"/>
  <c r="B116" i="2" s="1"/>
  <c r="H115" i="2"/>
  <c r="M115" i="2" s="1"/>
  <c r="F115" i="2" l="1"/>
  <c r="E115" i="2"/>
  <c r="A116" i="2"/>
  <c r="C116" i="2"/>
  <c r="J115" i="2"/>
  <c r="K115" i="2" s="1"/>
  <c r="L115" i="2" s="1"/>
  <c r="I116" i="2" l="1"/>
  <c r="J116" i="2" s="1"/>
  <c r="D116" i="2"/>
  <c r="B117" i="2" s="1"/>
  <c r="H116" i="2"/>
  <c r="M116" i="2" s="1"/>
  <c r="K116" i="2" l="1"/>
  <c r="I117" i="2" s="1"/>
  <c r="J117" i="2" s="1"/>
  <c r="F116" i="2"/>
  <c r="E116" i="2"/>
  <c r="A117" i="2"/>
  <c r="C117" i="2"/>
  <c r="L116" i="2" l="1"/>
  <c r="D117" i="2"/>
  <c r="B118" i="2" s="1"/>
  <c r="H117" i="2"/>
  <c r="M117" i="2" s="1"/>
  <c r="K117" i="2" s="1"/>
  <c r="I118" i="2" s="1"/>
  <c r="J118" i="2" s="1"/>
  <c r="F117" i="2" l="1"/>
  <c r="E117" i="2"/>
  <c r="C118" i="2"/>
  <c r="A118" i="2"/>
  <c r="L117" i="2"/>
  <c r="H118" i="2" l="1"/>
  <c r="M118" i="2" s="1"/>
  <c r="K118" i="2" s="1"/>
  <c r="D118" i="2"/>
  <c r="B119" i="2" s="1"/>
  <c r="F118" i="2" l="1"/>
  <c r="E118" i="2"/>
  <c r="L118" i="2"/>
  <c r="I119" i="2"/>
  <c r="J119" i="2" s="1"/>
  <c r="A119" i="2"/>
  <c r="C119" i="2"/>
  <c r="D119" i="2" l="1"/>
  <c r="B120" i="2" s="1"/>
  <c r="H119" i="2"/>
  <c r="M119" i="2" s="1"/>
  <c r="K119" i="2" s="1"/>
  <c r="E119" i="2" l="1"/>
  <c r="F119" i="2"/>
  <c r="L119" i="2"/>
  <c r="I120" i="2"/>
  <c r="J120" i="2" s="1"/>
  <c r="A120" i="2"/>
  <c r="C120" i="2"/>
  <c r="D120" i="2" l="1"/>
  <c r="B121" i="2" s="1"/>
  <c r="H120" i="2"/>
  <c r="M120" i="2" s="1"/>
  <c r="K120" i="2" s="1"/>
  <c r="F120" i="2" l="1"/>
  <c r="E120" i="2"/>
  <c r="L120" i="2"/>
  <c r="I121" i="2"/>
  <c r="J121" i="2" s="1"/>
  <c r="A121" i="2"/>
  <c r="C121" i="2"/>
  <c r="H121" i="2" l="1"/>
  <c r="M121" i="2" s="1"/>
  <c r="K121" i="2" s="1"/>
  <c r="D121" i="2"/>
  <c r="B122" i="2" s="1"/>
  <c r="E121" i="2" l="1"/>
  <c r="F121" i="2"/>
  <c r="A122" i="2"/>
  <c r="C122" i="2"/>
  <c r="I122" i="2"/>
  <c r="L121" i="2"/>
  <c r="J122" i="2" l="1"/>
  <c r="D122" i="2"/>
  <c r="B123" i="2" s="1"/>
  <c r="H122" i="2"/>
  <c r="M122" i="2" s="1"/>
  <c r="K122" i="2" l="1"/>
  <c r="L122" i="2" s="1"/>
  <c r="F122" i="2"/>
  <c r="E122" i="2"/>
  <c r="C123" i="2"/>
  <c r="A123" i="2"/>
  <c r="I123" i="2" l="1"/>
  <c r="J123" i="2" s="1"/>
  <c r="H123" i="2"/>
  <c r="M123" i="2" s="1"/>
  <c r="D123" i="2"/>
  <c r="B124" i="2" s="1"/>
  <c r="K123" i="2" l="1"/>
  <c r="L123" i="2" s="1"/>
  <c r="E123" i="2"/>
  <c r="F123" i="2"/>
  <c r="A124" i="2"/>
  <c r="C124" i="2"/>
  <c r="I124" i="2" l="1"/>
  <c r="J124" i="2" s="1"/>
  <c r="D124" i="2"/>
  <c r="B125" i="2" s="1"/>
  <c r="H124" i="2"/>
  <c r="M124" i="2" s="1"/>
  <c r="E124" i="2" l="1"/>
  <c r="K124" i="2"/>
  <c r="L124" i="2" s="1"/>
  <c r="F124" i="2"/>
  <c r="A125" i="2"/>
  <c r="C125" i="2"/>
  <c r="I125" i="2" l="1"/>
  <c r="J125" i="2" s="1"/>
  <c r="D125" i="2"/>
  <c r="B126" i="2" s="1"/>
  <c r="H125" i="2"/>
  <c r="M125" i="2" s="1"/>
  <c r="K125" i="2" l="1"/>
  <c r="I126" i="2" s="1"/>
  <c r="J126" i="2" s="1"/>
  <c r="F125" i="2"/>
  <c r="A126" i="2"/>
  <c r="C126" i="2"/>
  <c r="E125" i="2"/>
  <c r="L125" i="2" l="1"/>
  <c r="H126" i="2"/>
  <c r="M126" i="2" s="1"/>
  <c r="K126" i="2" s="1"/>
  <c r="D126" i="2"/>
  <c r="B127" i="2" s="1"/>
  <c r="E126" i="2" l="1"/>
  <c r="F126" i="2"/>
  <c r="C127" i="2"/>
  <c r="A127" i="2"/>
  <c r="L126" i="2"/>
  <c r="I127" i="2"/>
  <c r="J127" i="2" s="1"/>
  <c r="H127" i="2" l="1"/>
  <c r="M127" i="2" s="1"/>
  <c r="K127" i="2" s="1"/>
  <c r="D127" i="2"/>
  <c r="B128" i="2" s="1"/>
  <c r="E127" i="2" l="1"/>
  <c r="F127" i="2"/>
  <c r="A128" i="2"/>
  <c r="C128" i="2"/>
  <c r="L127" i="2"/>
  <c r="I128" i="2"/>
  <c r="J128" i="2" s="1"/>
  <c r="D128" i="2" l="1"/>
  <c r="B129" i="2" s="1"/>
  <c r="H128" i="2"/>
  <c r="M128" i="2" s="1"/>
  <c r="K128" i="2" s="1"/>
  <c r="L128" i="2" s="1"/>
  <c r="F128" i="2" l="1"/>
  <c r="E128" i="2"/>
  <c r="A129" i="2"/>
  <c r="C129" i="2"/>
  <c r="I129" i="2"/>
  <c r="J129" i="2" s="1"/>
  <c r="D129" i="2" l="1"/>
  <c r="B130" i="2" s="1"/>
  <c r="H129" i="2"/>
  <c r="M129" i="2" s="1"/>
  <c r="K129" i="2" s="1"/>
  <c r="F129" i="2" l="1"/>
  <c r="E129" i="2"/>
  <c r="L129" i="2"/>
  <c r="I130" i="2"/>
  <c r="J130" i="2" s="1"/>
  <c r="C130" i="2"/>
  <c r="A130" i="2"/>
  <c r="H130" i="2" l="1"/>
  <c r="M130" i="2" s="1"/>
  <c r="K130" i="2" s="1"/>
  <c r="D130" i="2"/>
  <c r="B131" i="2" s="1"/>
  <c r="E130" i="2" l="1"/>
  <c r="F130" i="2"/>
  <c r="I131" i="2"/>
  <c r="J131" i="2" s="1"/>
  <c r="L130" i="2"/>
  <c r="A131" i="2"/>
  <c r="C131" i="2"/>
  <c r="D131" i="2" l="1"/>
  <c r="B132" i="2" s="1"/>
  <c r="H131" i="2"/>
  <c r="M131" i="2" s="1"/>
  <c r="K131" i="2" s="1"/>
  <c r="E131" i="2" l="1"/>
  <c r="F131" i="2"/>
  <c r="L131" i="2"/>
  <c r="I132" i="2"/>
  <c r="J132" i="2" s="1"/>
  <c r="A132" i="2"/>
  <c r="C132" i="2"/>
  <c r="D132" i="2" l="1"/>
  <c r="B133" i="2" s="1"/>
  <c r="H132" i="2"/>
  <c r="M132" i="2" s="1"/>
  <c r="K132" i="2" s="1"/>
  <c r="L132" i="2" l="1"/>
  <c r="I133" i="2"/>
  <c r="J133" i="2" s="1"/>
  <c r="E132" i="2"/>
  <c r="F132" i="2"/>
  <c r="A133" i="2"/>
  <c r="C133" i="2"/>
  <c r="D133" i="2" l="1"/>
  <c r="B134" i="2" s="1"/>
  <c r="H133" i="2"/>
  <c r="M133" i="2" s="1"/>
  <c r="K133" i="2" s="1"/>
  <c r="F133" i="2" l="1"/>
  <c r="E133" i="2"/>
  <c r="L133" i="2"/>
  <c r="I134" i="2"/>
  <c r="J134" i="2" s="1"/>
  <c r="A134" i="2"/>
  <c r="C134" i="2"/>
  <c r="D134" i="2" l="1"/>
  <c r="B135" i="2" s="1"/>
  <c r="H134" i="2"/>
  <c r="M134" i="2" s="1"/>
  <c r="K134" i="2" s="1"/>
  <c r="E134" i="2" l="1"/>
  <c r="F134" i="2"/>
  <c r="L134" i="2"/>
  <c r="I135" i="2"/>
  <c r="J135" i="2" s="1"/>
  <c r="C135" i="2"/>
  <c r="A135" i="2"/>
  <c r="D135" i="2" l="1"/>
  <c r="B136" i="2" s="1"/>
  <c r="H135" i="2"/>
  <c r="M135" i="2" s="1"/>
  <c r="K135" i="2" s="1"/>
  <c r="F135" i="2" l="1"/>
  <c r="E135" i="2"/>
  <c r="L135" i="2"/>
  <c r="I136" i="2"/>
  <c r="J136" i="2" s="1"/>
  <c r="A136" i="2"/>
  <c r="C136" i="2"/>
  <c r="D136" i="2" l="1"/>
  <c r="B137" i="2" s="1"/>
  <c r="H136" i="2"/>
  <c r="M136" i="2" s="1"/>
  <c r="K136" i="2" s="1"/>
  <c r="F136" i="2" l="1"/>
  <c r="E136" i="2"/>
  <c r="I137" i="2"/>
  <c r="J137" i="2" s="1"/>
  <c r="L136" i="2"/>
  <c r="C137" i="2"/>
  <c r="A137" i="2"/>
  <c r="D137" i="2" l="1"/>
  <c r="B138" i="2" s="1"/>
  <c r="H137" i="2"/>
  <c r="M137" i="2" s="1"/>
  <c r="K137" i="2" s="1"/>
  <c r="L137" i="2" l="1"/>
  <c r="I138" i="2"/>
  <c r="J138" i="2" s="1"/>
  <c r="E137" i="2"/>
  <c r="F137" i="2"/>
  <c r="A138" i="2"/>
  <c r="C138" i="2"/>
  <c r="H138" i="2" l="1"/>
  <c r="M138" i="2" s="1"/>
  <c r="K138" i="2" s="1"/>
  <c r="D138" i="2"/>
  <c r="B139" i="2" s="1"/>
  <c r="F138" i="2" l="1"/>
  <c r="E138" i="2"/>
  <c r="L138" i="2"/>
  <c r="I139" i="2"/>
  <c r="J139" i="2" s="1"/>
  <c r="A139" i="2"/>
  <c r="C139" i="2"/>
  <c r="H139" i="2" l="1"/>
  <c r="M139" i="2" s="1"/>
  <c r="K139" i="2" s="1"/>
  <c r="D139" i="2"/>
  <c r="B140" i="2" s="1"/>
  <c r="E139" i="2" l="1"/>
  <c r="F139" i="2"/>
  <c r="A140" i="2"/>
  <c r="C140" i="2"/>
  <c r="L139" i="2"/>
  <c r="I140" i="2"/>
  <c r="J140" i="2" s="1"/>
  <c r="D140" i="2" l="1"/>
  <c r="B141" i="2" s="1"/>
  <c r="H140" i="2"/>
  <c r="M140" i="2" s="1"/>
  <c r="K140" i="2" s="1"/>
  <c r="E140" i="2" l="1"/>
  <c r="F140" i="2"/>
  <c r="I141" i="2"/>
  <c r="J141" i="2" s="1"/>
  <c r="L140" i="2"/>
  <c r="A141" i="2"/>
  <c r="C141" i="2"/>
  <c r="D141" i="2" l="1"/>
  <c r="B142" i="2" s="1"/>
  <c r="H141" i="2"/>
  <c r="M141" i="2" s="1"/>
  <c r="K141" i="2" s="1"/>
  <c r="F141" i="2"/>
  <c r="E141" i="2" l="1"/>
  <c r="I142" i="2"/>
  <c r="J142" i="2" s="1"/>
  <c r="L141" i="2"/>
  <c r="A142" i="2"/>
  <c r="C142" i="2"/>
  <c r="H142" i="2" l="1"/>
  <c r="M142" i="2" s="1"/>
  <c r="K142" i="2" s="1"/>
  <c r="D142" i="2"/>
  <c r="B143" i="2" s="1"/>
  <c r="E142" i="2" l="1"/>
  <c r="F142" i="2"/>
  <c r="L142" i="2"/>
  <c r="I143" i="2"/>
  <c r="J143" i="2" s="1"/>
  <c r="A143" i="2"/>
  <c r="C143" i="2"/>
  <c r="D143" i="2" l="1"/>
  <c r="B144" i="2" s="1"/>
  <c r="H143" i="2"/>
  <c r="M143" i="2" s="1"/>
  <c r="K143" i="2" s="1"/>
  <c r="F143" i="2" l="1"/>
  <c r="E143" i="2"/>
  <c r="L143" i="2"/>
  <c r="I144" i="2"/>
  <c r="J144" i="2" s="1"/>
  <c r="C144" i="2"/>
  <c r="A144" i="2"/>
  <c r="D144" i="2" l="1"/>
  <c r="B145" i="2" s="1"/>
  <c r="H144" i="2"/>
  <c r="M144" i="2" s="1"/>
  <c r="K144" i="2" s="1"/>
  <c r="E144" i="2" l="1"/>
  <c r="F144" i="2"/>
  <c r="L144" i="2"/>
  <c r="I145" i="2"/>
  <c r="J145" i="2" s="1"/>
  <c r="C145" i="2"/>
  <c r="A145" i="2"/>
  <c r="D145" i="2" l="1"/>
  <c r="B146" i="2" s="1"/>
  <c r="H145" i="2"/>
  <c r="M145" i="2" s="1"/>
  <c r="K145" i="2" s="1"/>
  <c r="F145" i="2" l="1"/>
  <c r="E145" i="2"/>
  <c r="L145" i="2"/>
  <c r="I146" i="2"/>
  <c r="J146" i="2" s="1"/>
  <c r="A146" i="2"/>
  <c r="C146" i="2"/>
  <c r="H146" i="2" l="1"/>
  <c r="M146" i="2" s="1"/>
  <c r="K146" i="2" s="1"/>
  <c r="D146" i="2"/>
  <c r="B147" i="2" s="1"/>
  <c r="F146" i="2" l="1"/>
  <c r="L146" i="2"/>
  <c r="I147" i="2"/>
  <c r="J147" i="2" s="1"/>
  <c r="A147" i="2"/>
  <c r="C147" i="2"/>
  <c r="E146" i="2"/>
  <c r="H147" i="2" l="1"/>
  <c r="M147" i="2" s="1"/>
  <c r="K147" i="2" s="1"/>
  <c r="D147" i="2"/>
  <c r="B148" i="2" s="1"/>
  <c r="L147" i="2" l="1"/>
  <c r="I148" i="2"/>
  <c r="J148" i="2" s="1"/>
  <c r="C148" i="2"/>
  <c r="A148" i="2"/>
  <c r="E147" i="2"/>
  <c r="F147" i="2"/>
  <c r="D148" i="2" l="1"/>
  <c r="B149" i="2" s="1"/>
  <c r="H148" i="2"/>
  <c r="M148" i="2" s="1"/>
  <c r="K148" i="2" s="1"/>
  <c r="F148" i="2" l="1"/>
  <c r="E148" i="2"/>
  <c r="L148" i="2"/>
  <c r="I149" i="2"/>
  <c r="J149" i="2" s="1"/>
  <c r="A149" i="2"/>
  <c r="C149" i="2"/>
  <c r="D149" i="2" l="1"/>
  <c r="B150" i="2" s="1"/>
  <c r="H149" i="2"/>
  <c r="M149" i="2" s="1"/>
  <c r="K149" i="2" s="1"/>
  <c r="F149" i="2" l="1"/>
  <c r="E149" i="2"/>
  <c r="L149" i="2"/>
  <c r="I150" i="2"/>
  <c r="J150" i="2" s="1"/>
  <c r="A150" i="2"/>
  <c r="C150" i="2"/>
  <c r="D150" i="2" l="1"/>
  <c r="B151" i="2" s="1"/>
  <c r="H150" i="2"/>
  <c r="M150" i="2" s="1"/>
  <c r="K150" i="2" s="1"/>
  <c r="F150" i="2" l="1"/>
  <c r="E150" i="2"/>
  <c r="L150" i="2"/>
  <c r="I151" i="2"/>
  <c r="J151" i="2" s="1"/>
  <c r="C151" i="2"/>
  <c r="A151" i="2"/>
  <c r="D151" i="2" l="1"/>
  <c r="B152" i="2" s="1"/>
  <c r="H151" i="2"/>
  <c r="M151" i="2" s="1"/>
  <c r="K151" i="2" s="1"/>
  <c r="F151" i="2" l="1"/>
  <c r="E151" i="2"/>
  <c r="I152" i="2"/>
  <c r="J152" i="2" s="1"/>
  <c r="L151" i="2"/>
  <c r="C152" i="2"/>
  <c r="A152" i="2"/>
  <c r="D152" i="2" l="1"/>
  <c r="B153" i="2" s="1"/>
  <c r="H152" i="2"/>
  <c r="M152" i="2" s="1"/>
  <c r="K152" i="2" s="1"/>
  <c r="E152" i="2" l="1"/>
  <c r="F152" i="2"/>
  <c r="I153" i="2"/>
  <c r="J153" i="2" s="1"/>
  <c r="L152" i="2"/>
  <c r="A153" i="2"/>
  <c r="C153" i="2"/>
  <c r="H153" i="2" l="1"/>
  <c r="M153" i="2" s="1"/>
  <c r="K153" i="2" s="1"/>
  <c r="D153" i="2"/>
  <c r="B154" i="2" s="1"/>
  <c r="F153" i="2" l="1"/>
  <c r="E153" i="2"/>
  <c r="L153" i="2"/>
  <c r="I154" i="2"/>
  <c r="J154" i="2" s="1"/>
  <c r="C154" i="2"/>
  <c r="A154" i="2"/>
  <c r="D154" i="2" l="1"/>
  <c r="B155" i="2" s="1"/>
  <c r="H154" i="2"/>
  <c r="M154" i="2" s="1"/>
  <c r="K154" i="2" s="1"/>
  <c r="L154" i="2" l="1"/>
  <c r="I155" i="2"/>
  <c r="J155" i="2" s="1"/>
  <c r="A155" i="2"/>
  <c r="C155" i="2"/>
  <c r="F154" i="2"/>
  <c r="E154" i="2"/>
  <c r="D155" i="2" l="1"/>
  <c r="B156" i="2" s="1"/>
  <c r="H155" i="2"/>
  <c r="M155" i="2" s="1"/>
  <c r="K155" i="2" s="1"/>
  <c r="E155" i="2" l="1"/>
  <c r="F155" i="2"/>
  <c r="L155" i="2"/>
  <c r="I156" i="2"/>
  <c r="J156" i="2" s="1"/>
  <c r="C156" i="2"/>
  <c r="A156" i="2"/>
  <c r="D156" i="2" l="1"/>
  <c r="B157" i="2" s="1"/>
  <c r="H156" i="2"/>
  <c r="M156" i="2" s="1"/>
  <c r="K156" i="2" s="1"/>
  <c r="F156" i="2" l="1"/>
  <c r="E156" i="2"/>
  <c r="L156" i="2"/>
  <c r="I157" i="2"/>
  <c r="J157" i="2" s="1"/>
  <c r="C157" i="2"/>
  <c r="A157" i="2"/>
  <c r="D157" i="2" l="1"/>
  <c r="B158" i="2" s="1"/>
  <c r="H157" i="2"/>
  <c r="M157" i="2" s="1"/>
  <c r="K157" i="2" s="1"/>
  <c r="F157" i="2" l="1"/>
  <c r="E157" i="2"/>
  <c r="L157" i="2"/>
  <c r="I158" i="2"/>
  <c r="J158" i="2" s="1"/>
  <c r="A158" i="2"/>
  <c r="C158" i="2"/>
  <c r="D158" i="2" l="1"/>
  <c r="B159" i="2" s="1"/>
  <c r="H158" i="2"/>
  <c r="M158" i="2" s="1"/>
  <c r="K158" i="2" s="1"/>
  <c r="F158" i="2" l="1"/>
  <c r="E158" i="2"/>
  <c r="I159" i="2"/>
  <c r="J159" i="2" s="1"/>
  <c r="L158" i="2"/>
  <c r="C159" i="2"/>
  <c r="A159" i="2"/>
  <c r="H159" i="2" l="1"/>
  <c r="M159" i="2" s="1"/>
  <c r="K159" i="2" s="1"/>
  <c r="D159" i="2"/>
  <c r="B160" i="2" s="1"/>
  <c r="E159" i="2" l="1"/>
  <c r="F159" i="2"/>
  <c r="C160" i="2"/>
  <c r="A160" i="2"/>
  <c r="I160" i="2"/>
  <c r="L159" i="2"/>
  <c r="J160" i="2" l="1"/>
  <c r="H160" i="2"/>
  <c r="M160" i="2" s="1"/>
  <c r="K160" i="2" s="1"/>
  <c r="I161" i="2" s="1"/>
  <c r="J161" i="2" s="1"/>
  <c r="D160" i="2"/>
  <c r="B161" i="2" s="1"/>
  <c r="E160" i="2" l="1"/>
  <c r="F160" i="2"/>
  <c r="C161" i="2"/>
  <c r="A161" i="2"/>
  <c r="L160" i="2"/>
  <c r="D161" i="2" l="1"/>
  <c r="B162" i="2" s="1"/>
  <c r="H161" i="2"/>
  <c r="M161" i="2" s="1"/>
  <c r="K161" i="2" s="1"/>
  <c r="E161" i="2" l="1"/>
  <c r="A162" i="2"/>
  <c r="C162" i="2"/>
  <c r="F161" i="2"/>
  <c r="L161" i="2"/>
  <c r="I162" i="2"/>
  <c r="J162" i="2" l="1"/>
  <c r="D162" i="2"/>
  <c r="B163" i="2" s="1"/>
  <c r="H162" i="2"/>
  <c r="M162" i="2" s="1"/>
  <c r="K162" i="2" l="1"/>
  <c r="L162" i="2" s="1"/>
  <c r="F162" i="2"/>
  <c r="E162" i="2"/>
  <c r="I163" i="2"/>
  <c r="C163" i="2"/>
  <c r="A163" i="2"/>
  <c r="D163" i="2" l="1"/>
  <c r="B164" i="2" s="1"/>
  <c r="H163" i="2"/>
  <c r="M163" i="2" s="1"/>
  <c r="J163" i="2"/>
  <c r="K163" i="2" l="1"/>
  <c r="L163" i="2" s="1"/>
  <c r="E163" i="2"/>
  <c r="F163" i="2"/>
  <c r="C164" i="2"/>
  <c r="A164" i="2"/>
  <c r="I164" i="2" l="1"/>
  <c r="J164" i="2" s="1"/>
  <c r="H164" i="2"/>
  <c r="M164" i="2" s="1"/>
  <c r="D164" i="2"/>
  <c r="B165" i="2" s="1"/>
  <c r="F164" i="2" l="1"/>
  <c r="A165" i="2"/>
  <c r="C165" i="2"/>
  <c r="K164" i="2"/>
  <c r="E164" i="2"/>
  <c r="L164" i="2" l="1"/>
  <c r="I165" i="2"/>
  <c r="H165" i="2"/>
  <c r="M165" i="2" s="1"/>
  <c r="D165" i="2"/>
  <c r="B166" i="2" s="1"/>
  <c r="E165" i="2" l="1"/>
  <c r="F165" i="2"/>
  <c r="A166" i="2"/>
  <c r="C166" i="2"/>
  <c r="J165" i="2"/>
  <c r="K165" i="2" s="1"/>
  <c r="L165" i="2" l="1"/>
  <c r="I166" i="2"/>
  <c r="H166" i="2"/>
  <c r="M166" i="2" s="1"/>
  <c r="D166" i="2"/>
  <c r="B167" i="2" s="1"/>
  <c r="F166" i="2" l="1"/>
  <c r="E166" i="2"/>
  <c r="C167" i="2"/>
  <c r="A167" i="2"/>
  <c r="J166" i="2"/>
  <c r="K166" i="2" s="1"/>
  <c r="L166" i="2" l="1"/>
  <c r="I167" i="2"/>
  <c r="D167" i="2"/>
  <c r="B168" i="2" s="1"/>
  <c r="H167" i="2"/>
  <c r="M167" i="2" s="1"/>
  <c r="E167" i="2"/>
  <c r="F167" i="2" l="1"/>
  <c r="C168" i="2"/>
  <c r="A168" i="2"/>
  <c r="J167" i="2"/>
  <c r="K167" i="2" s="1"/>
  <c r="I168" i="2" s="1"/>
  <c r="J168" i="2" l="1"/>
  <c r="L167" i="2"/>
  <c r="H168" i="2"/>
  <c r="M168" i="2" s="1"/>
  <c r="D168" i="2"/>
  <c r="B169" i="2" s="1"/>
  <c r="K168" i="2" l="1"/>
  <c r="I169" i="2" s="1"/>
  <c r="J169" i="2" s="1"/>
  <c r="C169" i="2"/>
  <c r="A169" i="2"/>
  <c r="F168" i="2"/>
  <c r="E168" i="2"/>
  <c r="L168" i="2"/>
  <c r="D169" i="2" l="1"/>
  <c r="B170" i="2" s="1"/>
  <c r="H169" i="2"/>
  <c r="M169" i="2" s="1"/>
  <c r="K169" i="2" s="1"/>
  <c r="E169" i="2" l="1"/>
  <c r="F169" i="2"/>
  <c r="L169" i="2"/>
  <c r="I170" i="2"/>
  <c r="C170" i="2"/>
  <c r="A170" i="2"/>
  <c r="D170" i="2" l="1"/>
  <c r="B171" i="2" s="1"/>
  <c r="H170" i="2"/>
  <c r="M170" i="2" s="1"/>
  <c r="J170" i="2"/>
  <c r="E170" i="2" l="1"/>
  <c r="F170" i="2"/>
  <c r="K170" i="2"/>
  <c r="C171" i="2"/>
  <c r="A171" i="2"/>
  <c r="H171" i="2" l="1"/>
  <c r="M171" i="2" s="1"/>
  <c r="D171" i="2"/>
  <c r="B172" i="2" s="1"/>
  <c r="I171" i="2"/>
  <c r="L170" i="2"/>
  <c r="F171" i="2" l="1"/>
  <c r="E171" i="2"/>
  <c r="J171" i="2"/>
  <c r="K171" i="2" s="1"/>
  <c r="L171" i="2" s="1"/>
  <c r="C172" i="2"/>
  <c r="A172" i="2"/>
  <c r="H172" i="2" l="1"/>
  <c r="M172" i="2" s="1"/>
  <c r="D172" i="2"/>
  <c r="B173" i="2" s="1"/>
  <c r="I172" i="2"/>
  <c r="F172" i="2" l="1"/>
  <c r="E172" i="2"/>
  <c r="J172" i="2"/>
  <c r="K172" i="2" s="1"/>
  <c r="I173" i="2" s="1"/>
  <c r="C173" i="2"/>
  <c r="A173" i="2"/>
  <c r="J173" i="2" l="1"/>
  <c r="H173" i="2"/>
  <c r="M173" i="2" s="1"/>
  <c r="D173" i="2"/>
  <c r="B174" i="2" s="1"/>
  <c r="L172" i="2"/>
  <c r="K173" i="2" l="1"/>
  <c r="I174" i="2" s="1"/>
  <c r="J174" i="2" s="1"/>
  <c r="E173" i="2"/>
  <c r="C174" i="2"/>
  <c r="A174" i="2"/>
  <c r="F173" i="2"/>
  <c r="L173" i="2" l="1"/>
  <c r="D174" i="2"/>
  <c r="B175" i="2" s="1"/>
  <c r="H174" i="2"/>
  <c r="M174" i="2" s="1"/>
  <c r="K174" i="2" s="1"/>
  <c r="F174" i="2"/>
  <c r="E174" i="2" l="1"/>
  <c r="I175" i="2"/>
  <c r="L174" i="2"/>
  <c r="A175" i="2"/>
  <c r="C175" i="2"/>
  <c r="H175" i="2" l="1"/>
  <c r="M175" i="2" s="1"/>
  <c r="D175" i="2"/>
  <c r="B176" i="2" s="1"/>
  <c r="J175" i="2"/>
  <c r="E175" i="2" l="1"/>
  <c r="K175" i="2"/>
  <c r="I176" i="2" s="1"/>
  <c r="J176" i="2" s="1"/>
  <c r="F175" i="2"/>
  <c r="C176" i="2"/>
  <c r="A176" i="2"/>
  <c r="L175" i="2" l="1"/>
  <c r="H176" i="2"/>
  <c r="M176" i="2" s="1"/>
  <c r="K176" i="2" s="1"/>
  <c r="D176" i="2"/>
  <c r="B177" i="2" s="1"/>
  <c r="E176" i="2" l="1"/>
  <c r="F176" i="2"/>
  <c r="A177" i="2"/>
  <c r="C177" i="2"/>
  <c r="L176" i="2"/>
  <c r="I177" i="2"/>
  <c r="J177" i="2" s="1"/>
  <c r="H177" i="2" l="1"/>
  <c r="M177" i="2" s="1"/>
  <c r="K177" i="2" s="1"/>
  <c r="D177" i="2"/>
  <c r="B178" i="2" s="1"/>
  <c r="E177" i="2" l="1"/>
  <c r="F177" i="2"/>
  <c r="C178" i="2"/>
  <c r="A178" i="2"/>
  <c r="L177" i="2"/>
  <c r="I178" i="2"/>
  <c r="J178" i="2" s="1"/>
  <c r="H178" i="2" l="1"/>
  <c r="M178" i="2" s="1"/>
  <c r="K178" i="2" s="1"/>
  <c r="D178" i="2"/>
  <c r="B179" i="2" s="1"/>
  <c r="E178" i="2" l="1"/>
  <c r="F178" i="2"/>
  <c r="A179" i="2"/>
  <c r="C179" i="2"/>
  <c r="I179" i="2"/>
  <c r="L178" i="2"/>
  <c r="J179" i="2" l="1"/>
  <c r="D179" i="2"/>
  <c r="B180" i="2" s="1"/>
  <c r="H179" i="2"/>
  <c r="M179" i="2" s="1"/>
  <c r="E179" i="2" l="1"/>
  <c r="F179" i="2"/>
  <c r="K179" i="2"/>
  <c r="I180" i="2" s="1"/>
  <c r="J180" i="2" s="1"/>
  <c r="C180" i="2"/>
  <c r="A180" i="2"/>
  <c r="L179" i="2" l="1"/>
  <c r="D180" i="2"/>
  <c r="B181" i="2" s="1"/>
  <c r="H180" i="2"/>
  <c r="M180" i="2" s="1"/>
  <c r="K180" i="2" s="1"/>
  <c r="F180" i="2" l="1"/>
  <c r="E180" i="2"/>
  <c r="I181" i="2"/>
  <c r="L180" i="2"/>
  <c r="C181" i="2"/>
  <c r="A181" i="2"/>
  <c r="D181" i="2" l="1"/>
  <c r="B182" i="2" s="1"/>
  <c r="H181" i="2"/>
  <c r="M181" i="2" s="1"/>
  <c r="J181" i="2"/>
  <c r="F181" i="2" l="1"/>
  <c r="E181" i="2"/>
  <c r="K181" i="2"/>
  <c r="L181" i="2" s="1"/>
  <c r="C182" i="2"/>
  <c r="A182" i="2"/>
  <c r="I182" i="2" l="1"/>
  <c r="J182" i="2" s="1"/>
  <c r="H182" i="2"/>
  <c r="M182" i="2" s="1"/>
  <c r="D182" i="2"/>
  <c r="B183" i="2" s="1"/>
  <c r="F182" i="2" l="1"/>
  <c r="E182" i="2"/>
  <c r="C183" i="2"/>
  <c r="A183" i="2"/>
  <c r="K182" i="2"/>
  <c r="L182" i="2" l="1"/>
  <c r="I183" i="2"/>
  <c r="D183" i="2"/>
  <c r="B184" i="2" s="1"/>
  <c r="H183" i="2"/>
  <c r="M183" i="2" s="1"/>
  <c r="E183" i="2"/>
  <c r="F183" i="2" l="1"/>
  <c r="C184" i="2"/>
  <c r="A184" i="2"/>
  <c r="J183" i="2"/>
  <c r="K183" i="2" s="1"/>
  <c r="I184" i="2" l="1"/>
  <c r="L183" i="2"/>
  <c r="H184" i="2"/>
  <c r="M184" i="2" s="1"/>
  <c r="D184" i="2"/>
  <c r="B185" i="2" s="1"/>
  <c r="E184" i="2" l="1"/>
  <c r="F184" i="2"/>
  <c r="C185" i="2"/>
  <c r="A185" i="2"/>
  <c r="J184" i="2"/>
  <c r="K184" i="2" s="1"/>
  <c r="L184" i="2" l="1"/>
  <c r="I185" i="2"/>
  <c r="H185" i="2"/>
  <c r="M185" i="2" s="1"/>
  <c r="D185" i="2"/>
  <c r="B186" i="2" s="1"/>
  <c r="F185" i="2" l="1"/>
  <c r="E185" i="2"/>
  <c r="C186" i="2"/>
  <c r="A186" i="2"/>
  <c r="J185" i="2"/>
  <c r="K185" i="2" s="1"/>
  <c r="I186" i="2" s="1"/>
  <c r="L185" i="2" l="1"/>
  <c r="D186" i="2"/>
  <c r="B187" i="2" s="1"/>
  <c r="H186" i="2"/>
  <c r="M186" i="2" s="1"/>
  <c r="J186" i="2"/>
  <c r="F186" i="2" l="1"/>
  <c r="K186" i="2"/>
  <c r="L186" i="2" s="1"/>
  <c r="E186" i="2"/>
  <c r="C187" i="2"/>
  <c r="A187" i="2"/>
  <c r="I187" i="2" l="1"/>
  <c r="J187" i="2" s="1"/>
  <c r="D187" i="2"/>
  <c r="B188" i="2" s="1"/>
  <c r="H187" i="2"/>
  <c r="M187" i="2" s="1"/>
  <c r="E187" i="2" l="1"/>
  <c r="F187" i="2"/>
  <c r="K187" i="2"/>
  <c r="I188" i="2" s="1"/>
  <c r="J188" i="2" s="1"/>
  <c r="C188" i="2"/>
  <c r="A188" i="2"/>
  <c r="L187" i="2" l="1"/>
  <c r="H188" i="2"/>
  <c r="M188" i="2" s="1"/>
  <c r="K188" i="2" s="1"/>
  <c r="D188" i="2"/>
  <c r="B189" i="2" s="1"/>
  <c r="F188" i="2" l="1"/>
  <c r="E188" i="2"/>
  <c r="I189" i="2"/>
  <c r="L188" i="2"/>
  <c r="A189" i="2"/>
  <c r="C189" i="2"/>
  <c r="H189" i="2" l="1"/>
  <c r="M189" i="2" s="1"/>
  <c r="D189" i="2"/>
  <c r="B190" i="2" s="1"/>
  <c r="J189" i="2"/>
  <c r="F189" i="2" l="1"/>
  <c r="E189" i="2"/>
  <c r="K189" i="2"/>
  <c r="L189" i="2" s="1"/>
  <c r="A190" i="2"/>
  <c r="C190" i="2"/>
  <c r="I190" i="2" l="1"/>
  <c r="J190" i="2" s="1"/>
  <c r="D190" i="2"/>
  <c r="B191" i="2" s="1"/>
  <c r="H190" i="2"/>
  <c r="M190" i="2" s="1"/>
  <c r="K190" i="2" l="1"/>
  <c r="I191" i="2" s="1"/>
  <c r="J191" i="2" s="1"/>
  <c r="F190" i="2"/>
  <c r="E190" i="2"/>
  <c r="C191" i="2"/>
  <c r="A191" i="2"/>
  <c r="L190" i="2" l="1"/>
  <c r="D191" i="2"/>
  <c r="B192" i="2" s="1"/>
  <c r="H191" i="2"/>
  <c r="M191" i="2" s="1"/>
  <c r="K191" i="2" s="1"/>
  <c r="E191" i="2" l="1"/>
  <c r="F191" i="2"/>
  <c r="L191" i="2"/>
  <c r="I192" i="2"/>
  <c r="C192" i="2"/>
  <c r="A192" i="2"/>
  <c r="D192" i="2" l="1"/>
  <c r="B193" i="2" s="1"/>
  <c r="H192" i="2"/>
  <c r="M192" i="2" s="1"/>
  <c r="J192" i="2"/>
  <c r="F192" i="2" l="1"/>
  <c r="E192" i="2"/>
  <c r="K192" i="2"/>
  <c r="A193" i="2"/>
  <c r="C193" i="2"/>
  <c r="D193" i="2" l="1"/>
  <c r="B194" i="2" s="1"/>
  <c r="H193" i="2"/>
  <c r="M193" i="2" s="1"/>
  <c r="I193" i="2"/>
  <c r="L192" i="2"/>
  <c r="E193" i="2" l="1"/>
  <c r="F193" i="2"/>
  <c r="J193" i="2"/>
  <c r="K193" i="2" s="1"/>
  <c r="L193" i="2" s="1"/>
  <c r="C194" i="2"/>
  <c r="A194" i="2"/>
  <c r="I194" i="2" l="1"/>
  <c r="D194" i="2"/>
  <c r="B195" i="2" s="1"/>
  <c r="H194" i="2"/>
  <c r="M194" i="2" s="1"/>
  <c r="E194" i="2" l="1"/>
  <c r="F194" i="2"/>
  <c r="C195" i="2"/>
  <c r="A195" i="2"/>
  <c r="J194" i="2"/>
  <c r="K194" i="2" s="1"/>
  <c r="L194" i="2" l="1"/>
  <c r="I195" i="2"/>
  <c r="D195" i="2"/>
  <c r="B196" i="2" s="1"/>
  <c r="H195" i="2"/>
  <c r="M195" i="2" s="1"/>
  <c r="F195" i="2" l="1"/>
  <c r="E195" i="2"/>
  <c r="A196" i="2"/>
  <c r="C196" i="2"/>
  <c r="J195" i="2"/>
  <c r="K195" i="2" s="1"/>
  <c r="L195" i="2" s="1"/>
  <c r="I196" i="2" l="1"/>
  <c r="J196" i="2" s="1"/>
  <c r="H196" i="2"/>
  <c r="M196" i="2" s="1"/>
  <c r="D196" i="2"/>
  <c r="B197" i="2" s="1"/>
  <c r="K196" i="2" l="1"/>
  <c r="I197" i="2" s="1"/>
  <c r="F196" i="2"/>
  <c r="E196" i="2"/>
  <c r="C197" i="2"/>
  <c r="A197" i="2"/>
  <c r="L196" i="2" l="1"/>
  <c r="J197" i="2"/>
  <c r="H197" i="2"/>
  <c r="M197" i="2" s="1"/>
  <c r="K197" i="2" s="1"/>
  <c r="I198" i="2" s="1"/>
  <c r="J198" i="2" s="1"/>
  <c r="D197" i="2"/>
  <c r="B198" i="2" s="1"/>
  <c r="E197" i="2" l="1"/>
  <c r="F197" i="2"/>
  <c r="A198" i="2"/>
  <c r="C198" i="2"/>
  <c r="L197" i="2"/>
  <c r="D198" i="2" l="1"/>
  <c r="B199" i="2" s="1"/>
  <c r="H198" i="2"/>
  <c r="M198" i="2" s="1"/>
  <c r="K198" i="2" s="1"/>
  <c r="E198" i="2" l="1"/>
  <c r="I199" i="2"/>
  <c r="L198" i="2"/>
  <c r="F198" i="2"/>
  <c r="C199" i="2"/>
  <c r="A199" i="2"/>
  <c r="D199" i="2" l="1"/>
  <c r="B200" i="2" s="1"/>
  <c r="H199" i="2"/>
  <c r="M199" i="2" s="1"/>
  <c r="J199" i="2"/>
  <c r="E199" i="2" l="1"/>
  <c r="F199" i="2"/>
  <c r="K199" i="2"/>
  <c r="I200" i="2" s="1"/>
  <c r="J200" i="2" s="1"/>
  <c r="C200" i="2"/>
  <c r="A200" i="2"/>
  <c r="L199" i="2" l="1"/>
  <c r="D200" i="2"/>
  <c r="B201" i="2" s="1"/>
  <c r="H200" i="2"/>
  <c r="M200" i="2" s="1"/>
  <c r="K200" i="2" s="1"/>
  <c r="F200" i="2" l="1"/>
  <c r="E200" i="2"/>
  <c r="L200" i="2"/>
  <c r="I201" i="2"/>
  <c r="A201" i="2"/>
  <c r="C201" i="2"/>
  <c r="D201" i="2" l="1"/>
  <c r="B202" i="2" s="1"/>
  <c r="H201" i="2"/>
  <c r="M201" i="2" s="1"/>
  <c r="J201" i="2"/>
  <c r="E201" i="2" l="1"/>
  <c r="F201" i="2"/>
  <c r="K201" i="2"/>
  <c r="I202" i="2" s="1"/>
  <c r="J202" i="2" s="1"/>
  <c r="L201" i="2"/>
  <c r="A202" i="2"/>
  <c r="C202" i="2"/>
  <c r="H202" i="2" l="1"/>
  <c r="M202" i="2" s="1"/>
  <c r="K202" i="2" s="1"/>
  <c r="D202" i="2"/>
  <c r="B203" i="2" s="1"/>
  <c r="F202" i="2" l="1"/>
  <c r="E202" i="2"/>
  <c r="A203" i="2"/>
  <c r="C203" i="2"/>
  <c r="I203" i="2"/>
  <c r="L202" i="2"/>
  <c r="J203" i="2" l="1"/>
  <c r="H203" i="2"/>
  <c r="M203" i="2" s="1"/>
  <c r="K203" i="2" s="1"/>
  <c r="I204" i="2" s="1"/>
  <c r="J204" i="2" s="1"/>
  <c r="D203" i="2"/>
  <c r="B204" i="2" s="1"/>
  <c r="F203" i="2" l="1"/>
  <c r="E203" i="2"/>
  <c r="C204" i="2"/>
  <c r="A204" i="2"/>
  <c r="L203" i="2"/>
  <c r="D204" i="2" l="1"/>
  <c r="B205" i="2" s="1"/>
  <c r="H204" i="2"/>
  <c r="M204" i="2" s="1"/>
  <c r="K204" i="2" s="1"/>
  <c r="F204" i="2"/>
  <c r="E204" i="2" l="1"/>
  <c r="I205" i="2"/>
  <c r="L204" i="2"/>
  <c r="C205" i="2"/>
  <c r="A205" i="2"/>
  <c r="D205" i="2" l="1"/>
  <c r="B206" i="2" s="1"/>
  <c r="H205" i="2"/>
  <c r="M205" i="2" s="1"/>
  <c r="J205" i="2"/>
  <c r="F205" i="2" l="1"/>
  <c r="E205" i="2"/>
  <c r="K205" i="2"/>
  <c r="L205" i="2" s="1"/>
  <c r="A206" i="2"/>
  <c r="C206" i="2"/>
  <c r="I206" i="2" l="1"/>
  <c r="J206" i="2" s="1"/>
  <c r="H206" i="2"/>
  <c r="M206" i="2" s="1"/>
  <c r="D206" i="2"/>
  <c r="B207" i="2" s="1"/>
  <c r="F206" i="2" l="1"/>
  <c r="E206" i="2"/>
  <c r="C207" i="2"/>
  <c r="A207" i="2"/>
  <c r="K206" i="2"/>
  <c r="D207" i="2" l="1"/>
  <c r="B208" i="2" s="1"/>
  <c r="H207" i="2"/>
  <c r="M207" i="2" s="1"/>
  <c r="L206" i="2"/>
  <c r="I207" i="2"/>
  <c r="F207" i="2" l="1"/>
  <c r="E207" i="2"/>
  <c r="J207" i="2"/>
  <c r="K207" i="2" s="1"/>
  <c r="L207" i="2" s="1"/>
  <c r="A208" i="2"/>
  <c r="C208" i="2"/>
  <c r="D208" i="2" l="1"/>
  <c r="B209" i="2" s="1"/>
  <c r="H208" i="2"/>
  <c r="M208" i="2" s="1"/>
  <c r="I208" i="2"/>
  <c r="A209" i="2" l="1"/>
  <c r="C209" i="2"/>
  <c r="J208" i="2"/>
  <c r="K208" i="2" s="1"/>
  <c r="I209" i="2" s="1"/>
  <c r="E208" i="2"/>
  <c r="F208" i="2"/>
  <c r="J209" i="2" l="1"/>
  <c r="L208" i="2"/>
  <c r="H209" i="2"/>
  <c r="M209" i="2" s="1"/>
  <c r="D209" i="2"/>
  <c r="B210" i="2" s="1"/>
  <c r="E209" i="2" l="1"/>
  <c r="F209" i="2"/>
  <c r="K209" i="2"/>
  <c r="L209" i="2" s="1"/>
  <c r="C210" i="2"/>
  <c r="A210" i="2"/>
  <c r="I210" i="2" l="1"/>
  <c r="J210" i="2" s="1"/>
  <c r="D210" i="2"/>
  <c r="B211" i="2" s="1"/>
  <c r="H210" i="2"/>
  <c r="M210" i="2" s="1"/>
  <c r="F210" i="2" l="1"/>
  <c r="E210" i="2"/>
  <c r="K210" i="2"/>
  <c r="L210" i="2" s="1"/>
  <c r="C211" i="2"/>
  <c r="A211" i="2"/>
  <c r="I211" i="2" l="1"/>
  <c r="J211" i="2" s="1"/>
  <c r="H211" i="2"/>
  <c r="M211" i="2" s="1"/>
  <c r="D211" i="2"/>
  <c r="B212" i="2" s="1"/>
  <c r="E211" i="2" l="1"/>
  <c r="F211" i="2"/>
  <c r="C212" i="2"/>
  <c r="A212" i="2"/>
  <c r="K211" i="2"/>
  <c r="I212" i="2" l="1"/>
  <c r="L211" i="2"/>
  <c r="H212" i="2"/>
  <c r="M212" i="2" s="1"/>
  <c r="D212" i="2"/>
  <c r="B213" i="2" s="1"/>
  <c r="F212" i="2" l="1"/>
  <c r="E212" i="2"/>
  <c r="C213" i="2"/>
  <c r="A213" i="2"/>
  <c r="J212" i="2"/>
  <c r="K212" i="2" s="1"/>
  <c r="I213" i="2" l="1"/>
  <c r="L212" i="2"/>
  <c r="H213" i="2"/>
  <c r="M213" i="2" s="1"/>
  <c r="D213" i="2"/>
  <c r="B214" i="2" s="1"/>
  <c r="E213" i="2" l="1"/>
  <c r="F213" i="2"/>
  <c r="C214" i="2"/>
  <c r="A214" i="2"/>
  <c r="J213" i="2"/>
  <c r="K213" i="2" s="1"/>
  <c r="L213" i="2" l="1"/>
  <c r="I214" i="2"/>
  <c r="H214" i="2"/>
  <c r="M214" i="2" s="1"/>
  <c r="D214" i="2"/>
  <c r="B215" i="2" s="1"/>
  <c r="F214" i="2" l="1"/>
  <c r="E214" i="2"/>
  <c r="C215" i="2"/>
  <c r="A215" i="2"/>
  <c r="J214" i="2"/>
  <c r="K214" i="2" s="1"/>
  <c r="L214" i="2" s="1"/>
  <c r="I215" i="2" l="1"/>
  <c r="J215" i="2" s="1"/>
  <c r="D215" i="2"/>
  <c r="B216" i="2" s="1"/>
  <c r="H215" i="2"/>
  <c r="M215" i="2" s="1"/>
  <c r="K215" i="2" l="1"/>
  <c r="L215" i="2" s="1"/>
  <c r="E215" i="2"/>
  <c r="F215" i="2"/>
  <c r="C216" i="2"/>
  <c r="A216" i="2"/>
  <c r="I216" i="2" l="1"/>
  <c r="J216" i="2" s="1"/>
  <c r="H216" i="2"/>
  <c r="M216" i="2" s="1"/>
  <c r="K216" i="2" s="1"/>
  <c r="D216" i="2"/>
  <c r="B217" i="2" s="1"/>
  <c r="F216" i="2" l="1"/>
  <c r="E216" i="2"/>
  <c r="A217" i="2"/>
  <c r="C217" i="2"/>
  <c r="L216" i="2"/>
  <c r="I217" i="2"/>
  <c r="J217" i="2" s="1"/>
  <c r="H217" i="2" l="1"/>
  <c r="M217" i="2" s="1"/>
  <c r="K217" i="2" s="1"/>
  <c r="D217" i="2"/>
  <c r="B218" i="2" s="1"/>
  <c r="L217" i="2" l="1"/>
  <c r="I218" i="2"/>
  <c r="J218" i="2" s="1"/>
  <c r="C218" i="2"/>
  <c r="A218" i="2"/>
  <c r="E217" i="2"/>
  <c r="F217" i="2"/>
  <c r="D218" i="2" l="1"/>
  <c r="B219" i="2" s="1"/>
  <c r="H218" i="2"/>
  <c r="M218" i="2" s="1"/>
  <c r="K218" i="2" s="1"/>
  <c r="E218" i="2" l="1"/>
  <c r="F218" i="2"/>
  <c r="I219" i="2"/>
  <c r="J219" i="2" s="1"/>
  <c r="L218" i="2"/>
  <c r="C219" i="2"/>
  <c r="A219" i="2"/>
  <c r="D219" i="2" l="1"/>
  <c r="B220" i="2" s="1"/>
  <c r="H219" i="2"/>
  <c r="M219" i="2" s="1"/>
  <c r="K219" i="2" s="1"/>
  <c r="F219" i="2" l="1"/>
  <c r="L219" i="2"/>
  <c r="I220" i="2"/>
  <c r="J220" i="2" s="1"/>
  <c r="C220" i="2"/>
  <c r="A220" i="2"/>
  <c r="E219" i="2"/>
  <c r="H220" i="2" l="1"/>
  <c r="M220" i="2" s="1"/>
  <c r="K220" i="2" s="1"/>
  <c r="D220" i="2"/>
  <c r="B221" i="2" s="1"/>
  <c r="F220" i="2" l="1"/>
  <c r="E220" i="2"/>
  <c r="I221" i="2"/>
  <c r="J221" i="2" s="1"/>
  <c r="L220" i="2"/>
  <c r="C221" i="2"/>
  <c r="A221" i="2"/>
  <c r="D221" i="2" l="1"/>
  <c r="B222" i="2" s="1"/>
  <c r="H221" i="2"/>
  <c r="M221" i="2" s="1"/>
  <c r="K221" i="2" s="1"/>
  <c r="E221" i="2"/>
  <c r="F221" i="2" l="1"/>
  <c r="I222" i="2"/>
  <c r="J222" i="2" s="1"/>
  <c r="L221" i="2"/>
  <c r="C222" i="2"/>
  <c r="A222" i="2"/>
  <c r="D222" i="2" l="1"/>
  <c r="B223" i="2" s="1"/>
  <c r="H222" i="2"/>
  <c r="M222" i="2" s="1"/>
  <c r="K222" i="2" s="1"/>
  <c r="E222" i="2" l="1"/>
  <c r="L222" i="2"/>
  <c r="I223" i="2"/>
  <c r="J223" i="2" s="1"/>
  <c r="F222" i="2"/>
  <c r="C223" i="2"/>
  <c r="A223" i="2"/>
  <c r="H223" i="2" l="1"/>
  <c r="M223" i="2" s="1"/>
  <c r="K223" i="2" s="1"/>
  <c r="D223" i="2"/>
  <c r="B224" i="2" s="1"/>
  <c r="F223" i="2" l="1"/>
  <c r="E223" i="2"/>
  <c r="L223" i="2"/>
  <c r="I224" i="2"/>
  <c r="J224" i="2" s="1"/>
  <c r="C224" i="2"/>
  <c r="A224" i="2"/>
  <c r="D224" i="2" l="1"/>
  <c r="B225" i="2" s="1"/>
  <c r="H224" i="2"/>
  <c r="M224" i="2" s="1"/>
  <c r="K224" i="2" s="1"/>
  <c r="E224" i="2" l="1"/>
  <c r="F224" i="2"/>
  <c r="L224" i="2"/>
  <c r="I225" i="2"/>
  <c r="J225" i="2" s="1"/>
  <c r="C225" i="2"/>
  <c r="A225" i="2"/>
  <c r="D225" i="2" l="1"/>
  <c r="B226" i="2" s="1"/>
  <c r="H225" i="2"/>
  <c r="M225" i="2" s="1"/>
  <c r="K225" i="2" s="1"/>
  <c r="E225" i="2" l="1"/>
  <c r="L225" i="2"/>
  <c r="I226" i="2"/>
  <c r="J226" i="2" s="1"/>
  <c r="F225" i="2"/>
  <c r="C226" i="2"/>
  <c r="A226" i="2"/>
  <c r="D226" i="2" l="1"/>
  <c r="B227" i="2" s="1"/>
  <c r="H226" i="2"/>
  <c r="M226" i="2" s="1"/>
  <c r="K226" i="2" s="1"/>
  <c r="E226" i="2"/>
  <c r="F226" i="2" l="1"/>
  <c r="L226" i="2"/>
  <c r="I227" i="2"/>
  <c r="J227" i="2" s="1"/>
  <c r="A227" i="2"/>
  <c r="C227" i="2"/>
  <c r="H227" i="2" l="1"/>
  <c r="M227" i="2" s="1"/>
  <c r="K227" i="2" s="1"/>
  <c r="D227" i="2"/>
  <c r="B228" i="2" s="1"/>
  <c r="F227" i="2" l="1"/>
  <c r="L227" i="2"/>
  <c r="I228" i="2"/>
  <c r="J228" i="2" s="1"/>
  <c r="E227" i="2"/>
  <c r="C228" i="2"/>
  <c r="A228" i="2"/>
  <c r="D228" i="2" l="1"/>
  <c r="B229" i="2" s="1"/>
  <c r="H228" i="2"/>
  <c r="M228" i="2" s="1"/>
  <c r="K228" i="2" s="1"/>
  <c r="F228" i="2" l="1"/>
  <c r="E228" i="2"/>
  <c r="L228" i="2"/>
  <c r="I229" i="2"/>
  <c r="J229" i="2" s="1"/>
  <c r="A229" i="2"/>
  <c r="C229" i="2"/>
  <c r="D229" i="2" l="1"/>
  <c r="B230" i="2" s="1"/>
  <c r="H229" i="2"/>
  <c r="M229" i="2" s="1"/>
  <c r="K229" i="2" s="1"/>
  <c r="E229" i="2" l="1"/>
  <c r="F229" i="2"/>
  <c r="L229" i="2"/>
  <c r="I230" i="2"/>
  <c r="J230" i="2" s="1"/>
  <c r="C230" i="2"/>
  <c r="A230" i="2"/>
  <c r="D230" i="2" l="1"/>
  <c r="B231" i="2" s="1"/>
  <c r="H230" i="2"/>
  <c r="M230" i="2" s="1"/>
  <c r="K230" i="2" s="1"/>
  <c r="F230" i="2" l="1"/>
  <c r="E230" i="2"/>
  <c r="L230" i="2"/>
  <c r="I231" i="2"/>
  <c r="J231" i="2" s="1"/>
  <c r="C231" i="2"/>
  <c r="A231" i="2"/>
  <c r="D231" i="2" l="1"/>
  <c r="B232" i="2" s="1"/>
  <c r="H231" i="2"/>
  <c r="M231" i="2" s="1"/>
  <c r="K231" i="2" s="1"/>
  <c r="E231" i="2" l="1"/>
  <c r="F231" i="2"/>
  <c r="I232" i="2"/>
  <c r="J232" i="2" s="1"/>
  <c r="L231" i="2"/>
  <c r="A232" i="2"/>
  <c r="C232" i="2"/>
  <c r="H232" i="2" l="1"/>
  <c r="M232" i="2" s="1"/>
  <c r="K232" i="2" s="1"/>
  <c r="D232" i="2"/>
  <c r="B233" i="2" s="1"/>
  <c r="E232" i="2" l="1"/>
  <c r="F232" i="2"/>
  <c r="L232" i="2"/>
  <c r="I233" i="2"/>
  <c r="J233" i="2" s="1"/>
  <c r="A233" i="2"/>
  <c r="C233" i="2"/>
  <c r="D233" i="2" l="1"/>
  <c r="B234" i="2" s="1"/>
  <c r="H233" i="2"/>
  <c r="M233" i="2" s="1"/>
  <c r="K233" i="2" s="1"/>
  <c r="E233" i="2" l="1"/>
  <c r="F233" i="2"/>
  <c r="I234" i="2"/>
  <c r="J234" i="2" s="1"/>
  <c r="L233" i="2"/>
  <c r="C234" i="2"/>
  <c r="A234" i="2"/>
  <c r="D234" i="2" l="1"/>
  <c r="B235" i="2" s="1"/>
  <c r="H234" i="2"/>
  <c r="M234" i="2" s="1"/>
  <c r="K234" i="2" s="1"/>
  <c r="F234" i="2" l="1"/>
  <c r="E234" i="2"/>
  <c r="I235" i="2"/>
  <c r="J235" i="2" s="1"/>
  <c r="L234" i="2"/>
  <c r="C235" i="2"/>
  <c r="A235" i="2"/>
  <c r="H235" i="2" l="1"/>
  <c r="M235" i="2" s="1"/>
  <c r="K235" i="2" s="1"/>
  <c r="D235" i="2"/>
  <c r="B236" i="2" s="1"/>
  <c r="F235" i="2" l="1"/>
  <c r="E235" i="2"/>
  <c r="L235" i="2"/>
  <c r="I236" i="2"/>
  <c r="J236" i="2" s="1"/>
  <c r="C236" i="2"/>
  <c r="A236" i="2"/>
  <c r="D236" i="2" l="1"/>
  <c r="B237" i="2" s="1"/>
  <c r="H236" i="2"/>
  <c r="M236" i="2" s="1"/>
  <c r="K236" i="2" s="1"/>
  <c r="E236" i="2" l="1"/>
  <c r="F236" i="2"/>
  <c r="I237" i="2"/>
  <c r="J237" i="2" s="1"/>
  <c r="L236" i="2"/>
  <c r="A237" i="2"/>
  <c r="C237" i="2"/>
  <c r="H237" i="2" l="1"/>
  <c r="M237" i="2" s="1"/>
  <c r="K237" i="2" s="1"/>
  <c r="D237" i="2"/>
  <c r="B238" i="2" s="1"/>
  <c r="E237" i="2" l="1"/>
  <c r="F237" i="2"/>
  <c r="L237" i="2"/>
  <c r="I238" i="2"/>
  <c r="J238" i="2" s="1"/>
  <c r="A238" i="2"/>
  <c r="C238" i="2"/>
  <c r="D238" i="2" l="1"/>
  <c r="B239" i="2" s="1"/>
  <c r="H238" i="2"/>
  <c r="M238" i="2" s="1"/>
  <c r="K238" i="2" s="1"/>
  <c r="E238" i="2" l="1"/>
  <c r="F238" i="2"/>
  <c r="I239" i="2"/>
  <c r="L238" i="2"/>
  <c r="C239" i="2"/>
  <c r="A239" i="2"/>
  <c r="H239" i="2" l="1"/>
  <c r="M239" i="2" s="1"/>
  <c r="D239" i="2"/>
  <c r="B240" i="2" s="1"/>
  <c r="J239" i="2"/>
  <c r="F239" i="2" l="1"/>
  <c r="E239" i="2"/>
  <c r="C240" i="2"/>
  <c r="A240" i="2"/>
  <c r="K239" i="2"/>
  <c r="D240" i="2" l="1"/>
  <c r="B241" i="2" s="1"/>
  <c r="H240" i="2"/>
  <c r="M240" i="2" s="1"/>
  <c r="L239" i="2"/>
  <c r="I240" i="2"/>
  <c r="F240" i="2" l="1"/>
  <c r="E240" i="2"/>
  <c r="J240" i="2"/>
  <c r="K240" i="2" s="1"/>
  <c r="I241" i="2" s="1"/>
  <c r="A241" i="2"/>
  <c r="C241" i="2"/>
  <c r="D241" i="2" l="1"/>
  <c r="B242" i="2" s="1"/>
  <c r="H241" i="2"/>
  <c r="M241" i="2" s="1"/>
  <c r="L240" i="2"/>
  <c r="J241" i="2"/>
  <c r="E241" i="2" l="1"/>
  <c r="K241" i="2"/>
  <c r="L241" i="2" s="1"/>
  <c r="F241" i="2"/>
  <c r="A242" i="2"/>
  <c r="C242" i="2"/>
  <c r="I242" i="2" l="1"/>
  <c r="J242" i="2" s="1"/>
  <c r="H242" i="2"/>
  <c r="M242" i="2" s="1"/>
  <c r="D242" i="2"/>
  <c r="B243" i="2" s="1"/>
  <c r="F242" i="2" l="1"/>
  <c r="E242" i="2"/>
  <c r="C243" i="2"/>
  <c r="A243" i="2"/>
  <c r="K242" i="2"/>
  <c r="H243" i="2" l="1"/>
  <c r="M243" i="2" s="1"/>
  <c r="D243" i="2"/>
  <c r="B244" i="2" s="1"/>
  <c r="I243" i="2"/>
  <c r="L242" i="2"/>
  <c r="F243" i="2" l="1"/>
  <c r="E243" i="2"/>
  <c r="J243" i="2"/>
  <c r="K243" i="2" s="1"/>
  <c r="L243" i="2" s="1"/>
  <c r="C244" i="2"/>
  <c r="A244" i="2"/>
  <c r="I244" i="2" l="1"/>
  <c r="D244" i="2"/>
  <c r="B245" i="2" s="1"/>
  <c r="H244" i="2"/>
  <c r="M244" i="2" s="1"/>
  <c r="F244" i="2" l="1"/>
  <c r="E244" i="2"/>
  <c r="A245" i="2"/>
  <c r="C245" i="2"/>
  <c r="J244" i="2"/>
  <c r="K244" i="2" s="1"/>
  <c r="L244" i="2" l="1"/>
  <c r="I245" i="2"/>
  <c r="D245" i="2"/>
  <c r="B246" i="2" s="1"/>
  <c r="H245" i="2"/>
  <c r="M245" i="2" s="1"/>
  <c r="F245" i="2" l="1"/>
  <c r="E245" i="2"/>
  <c r="A246" i="2"/>
  <c r="C246" i="2"/>
  <c r="J245" i="2"/>
  <c r="K245" i="2" s="1"/>
  <c r="I246" i="2" l="1"/>
  <c r="L245" i="2"/>
  <c r="H246" i="2"/>
  <c r="M246" i="2" s="1"/>
  <c r="D246" i="2"/>
  <c r="B247" i="2" s="1"/>
  <c r="E246" i="2" l="1"/>
  <c r="F246" i="2"/>
  <c r="C247" i="2"/>
  <c r="A247" i="2"/>
  <c r="J246" i="2"/>
  <c r="K246" i="2" s="1"/>
  <c r="I247" i="2" l="1"/>
  <c r="L246" i="2"/>
  <c r="D247" i="2"/>
  <c r="B248" i="2" s="1"/>
  <c r="H247" i="2"/>
  <c r="M247" i="2" s="1"/>
  <c r="E247" i="2" l="1"/>
  <c r="F247" i="2"/>
  <c r="A248" i="2"/>
  <c r="C248" i="2"/>
  <c r="J247" i="2"/>
  <c r="K247" i="2" s="1"/>
  <c r="I248" i="2" l="1"/>
  <c r="L247" i="2"/>
  <c r="H248" i="2"/>
  <c r="M248" i="2" s="1"/>
  <c r="D248" i="2"/>
  <c r="B249" i="2" s="1"/>
  <c r="F248" i="2" l="1"/>
  <c r="E248" i="2"/>
  <c r="C249" i="2"/>
  <c r="A249" i="2"/>
  <c r="J248" i="2"/>
  <c r="K248" i="2" s="1"/>
  <c r="I249" i="2" l="1"/>
  <c r="L248" i="2"/>
  <c r="D249" i="2"/>
  <c r="B250" i="2" s="1"/>
  <c r="H249" i="2"/>
  <c r="M249" i="2" s="1"/>
  <c r="F249" i="2" l="1"/>
  <c r="C250" i="2"/>
  <c r="A250" i="2"/>
  <c r="E249" i="2"/>
  <c r="J249" i="2"/>
  <c r="K249" i="2" s="1"/>
  <c r="I250" i="2" s="1"/>
  <c r="J250" i="2" l="1"/>
  <c r="L249" i="2"/>
  <c r="H250" i="2"/>
  <c r="M250" i="2" s="1"/>
  <c r="D250" i="2"/>
  <c r="B251" i="2" s="1"/>
  <c r="C251" i="2" l="1"/>
  <c r="A251" i="2"/>
  <c r="F250" i="2"/>
  <c r="E250" i="2"/>
  <c r="K250" i="2"/>
  <c r="H251" i="2" l="1"/>
  <c r="M251" i="2" s="1"/>
  <c r="D251" i="2"/>
  <c r="B252" i="2" s="1"/>
  <c r="I251" i="2"/>
  <c r="L250" i="2"/>
  <c r="E251" i="2" l="1"/>
  <c r="F251" i="2"/>
  <c r="J251" i="2"/>
  <c r="K251" i="2" s="1"/>
  <c r="I252" i="2" s="1"/>
  <c r="J252" i="2" s="1"/>
  <c r="C252" i="2"/>
  <c r="A252" i="2"/>
  <c r="L251" i="2" l="1"/>
  <c r="H252" i="2"/>
  <c r="M252" i="2" s="1"/>
  <c r="K252" i="2" s="1"/>
  <c r="D252" i="2"/>
  <c r="B253" i="2" s="1"/>
  <c r="F252" i="2" l="1"/>
  <c r="I253" i="2"/>
  <c r="J253" i="2" s="1"/>
  <c r="L252" i="2"/>
  <c r="E252" i="2"/>
  <c r="C253" i="2"/>
  <c r="A253" i="2"/>
  <c r="D253" i="2" l="1"/>
  <c r="B254" i="2" s="1"/>
  <c r="H253" i="2"/>
  <c r="M253" i="2" s="1"/>
  <c r="K253" i="2" s="1"/>
  <c r="E253" i="2" l="1"/>
  <c r="L253" i="2"/>
  <c r="I254" i="2"/>
  <c r="J254" i="2" s="1"/>
  <c r="F253" i="2"/>
  <c r="C254" i="2"/>
  <c r="A254" i="2"/>
  <c r="H254" i="2" l="1"/>
  <c r="M254" i="2" s="1"/>
  <c r="K254" i="2" s="1"/>
  <c r="D254" i="2"/>
  <c r="B255" i="2" s="1"/>
  <c r="E254" i="2" l="1"/>
  <c r="F254" i="2"/>
  <c r="I255" i="2"/>
  <c r="J255" i="2" s="1"/>
  <c r="L254" i="2"/>
  <c r="C255" i="2"/>
  <c r="A255" i="2"/>
  <c r="D255" i="2" l="1"/>
  <c r="B256" i="2" s="1"/>
  <c r="H255" i="2"/>
  <c r="M255" i="2" s="1"/>
  <c r="K255" i="2" s="1"/>
  <c r="F255" i="2" l="1"/>
  <c r="E255" i="2"/>
  <c r="I256" i="2"/>
  <c r="J256" i="2" s="1"/>
  <c r="L255" i="2"/>
  <c r="A256" i="2"/>
  <c r="C256" i="2"/>
  <c r="D256" i="2" l="1"/>
  <c r="B257" i="2" s="1"/>
  <c r="H256" i="2"/>
  <c r="M256" i="2" s="1"/>
  <c r="K256" i="2" s="1"/>
  <c r="E256" i="2" l="1"/>
  <c r="F256" i="2"/>
  <c r="L256" i="2"/>
  <c r="I257" i="2"/>
  <c r="J257" i="2" s="1"/>
  <c r="A257" i="2"/>
  <c r="C257" i="2"/>
  <c r="D257" i="2" l="1"/>
  <c r="B258" i="2" s="1"/>
  <c r="H257" i="2"/>
  <c r="M257" i="2" s="1"/>
  <c r="K257" i="2" s="1"/>
  <c r="E257" i="2" l="1"/>
  <c r="F257" i="2"/>
  <c r="L257" i="2"/>
  <c r="I258" i="2"/>
  <c r="J258" i="2" s="1"/>
  <c r="C258" i="2"/>
  <c r="A258" i="2"/>
  <c r="D258" i="2" l="1"/>
  <c r="B259" i="2" s="1"/>
  <c r="H258" i="2"/>
  <c r="M258" i="2" s="1"/>
  <c r="K258" i="2" s="1"/>
  <c r="F258" i="2" l="1"/>
  <c r="E258" i="2"/>
  <c r="I259" i="2"/>
  <c r="J259" i="2" s="1"/>
  <c r="L258" i="2"/>
  <c r="C259" i="2"/>
  <c r="A259" i="2"/>
  <c r="D259" i="2" l="1"/>
  <c r="B260" i="2" s="1"/>
  <c r="H259" i="2"/>
  <c r="M259" i="2" s="1"/>
  <c r="K259" i="2" s="1"/>
  <c r="E259" i="2" l="1"/>
  <c r="F259" i="2"/>
  <c r="L259" i="2"/>
  <c r="I260" i="2"/>
  <c r="J260" i="2" s="1"/>
  <c r="C260" i="2"/>
  <c r="A260" i="2"/>
  <c r="H260" i="2" l="1"/>
  <c r="M260" i="2" s="1"/>
  <c r="K260" i="2" s="1"/>
  <c r="D260" i="2"/>
  <c r="B261" i="2" s="1"/>
  <c r="F260" i="2" l="1"/>
  <c r="E260" i="2"/>
  <c r="I261" i="2"/>
  <c r="J261" i="2" s="1"/>
  <c r="L260" i="2"/>
  <c r="C261" i="2"/>
  <c r="A261" i="2"/>
  <c r="D261" i="2" l="1"/>
  <c r="B262" i="2" s="1"/>
  <c r="H261" i="2"/>
  <c r="M261" i="2" s="1"/>
  <c r="K261" i="2" s="1"/>
  <c r="F261" i="2" l="1"/>
  <c r="E261" i="2"/>
  <c r="I262" i="2"/>
  <c r="J262" i="2" s="1"/>
  <c r="L261" i="2"/>
  <c r="C262" i="2"/>
  <c r="A262" i="2"/>
  <c r="D262" i="2" l="1"/>
  <c r="B263" i="2" s="1"/>
  <c r="H262" i="2"/>
  <c r="M262" i="2" s="1"/>
  <c r="K262" i="2" s="1"/>
  <c r="I263" i="2" l="1"/>
  <c r="J263" i="2" s="1"/>
  <c r="L262" i="2"/>
  <c r="A263" i="2"/>
  <c r="C263" i="2"/>
  <c r="F262" i="2"/>
  <c r="E262" i="2"/>
  <c r="H263" i="2" l="1"/>
  <c r="M263" i="2" s="1"/>
  <c r="K263" i="2" s="1"/>
  <c r="D263" i="2"/>
  <c r="B264" i="2" s="1"/>
  <c r="E263" i="2" l="1"/>
  <c r="F263" i="2"/>
  <c r="I264" i="2"/>
  <c r="J264" i="2" s="1"/>
  <c r="L263" i="2"/>
  <c r="C264" i="2"/>
  <c r="A264" i="2"/>
  <c r="D264" i="2" l="1"/>
  <c r="B265" i="2" s="1"/>
  <c r="H264" i="2"/>
  <c r="M264" i="2" s="1"/>
  <c r="K264" i="2" s="1"/>
  <c r="E264" i="2" l="1"/>
  <c r="F264" i="2"/>
  <c r="I265" i="2"/>
  <c r="J265" i="2" s="1"/>
  <c r="L264" i="2"/>
  <c r="C265" i="2"/>
  <c r="A265" i="2"/>
  <c r="D265" i="2" l="1"/>
  <c r="B266" i="2" s="1"/>
  <c r="H265" i="2"/>
  <c r="M265" i="2" s="1"/>
  <c r="K265" i="2" s="1"/>
  <c r="E265" i="2" l="1"/>
  <c r="L265" i="2"/>
  <c r="I266" i="2"/>
  <c r="J266" i="2" s="1"/>
  <c r="F265" i="2"/>
  <c r="C266" i="2"/>
  <c r="A266" i="2"/>
  <c r="D266" i="2" l="1"/>
  <c r="B267" i="2" s="1"/>
  <c r="H266" i="2"/>
  <c r="M266" i="2" s="1"/>
  <c r="K266" i="2" s="1"/>
  <c r="E266" i="2" l="1"/>
  <c r="F266" i="2"/>
  <c r="I267" i="2"/>
  <c r="J267" i="2" s="1"/>
  <c r="L266" i="2"/>
  <c r="C267" i="2"/>
  <c r="A267" i="2"/>
  <c r="D267" i="2" l="1"/>
  <c r="B268" i="2" s="1"/>
  <c r="H267" i="2"/>
  <c r="M267" i="2" s="1"/>
  <c r="K267" i="2" s="1"/>
  <c r="L267" i="2" l="1"/>
  <c r="I268" i="2"/>
  <c r="J268" i="2" s="1"/>
  <c r="E267" i="2"/>
  <c r="C268" i="2"/>
  <c r="A268" i="2"/>
  <c r="F267" i="2"/>
  <c r="H268" i="2" l="1"/>
  <c r="M268" i="2" s="1"/>
  <c r="K268" i="2" s="1"/>
  <c r="D268" i="2"/>
  <c r="B269" i="2" s="1"/>
  <c r="E268" i="2" l="1"/>
  <c r="F268" i="2"/>
  <c r="C269" i="2"/>
  <c r="A269" i="2"/>
  <c r="L268" i="2"/>
  <c r="I269" i="2"/>
  <c r="J269" i="2" s="1"/>
  <c r="H269" i="2" l="1"/>
  <c r="M269" i="2" s="1"/>
  <c r="K269" i="2" s="1"/>
  <c r="D269" i="2"/>
  <c r="B270" i="2" s="1"/>
  <c r="I270" i="2" l="1"/>
  <c r="J270" i="2" s="1"/>
  <c r="L269" i="2"/>
  <c r="E269" i="2"/>
  <c r="F269" i="2"/>
  <c r="A270" i="2"/>
  <c r="C270" i="2"/>
  <c r="D270" i="2" l="1"/>
  <c r="B271" i="2" s="1"/>
  <c r="H270" i="2"/>
  <c r="M270" i="2" s="1"/>
  <c r="K270" i="2" s="1"/>
  <c r="E270" i="2" l="1"/>
  <c r="F270" i="2"/>
  <c r="I271" i="2"/>
  <c r="J271" i="2" s="1"/>
  <c r="L270" i="2"/>
  <c r="C271" i="2"/>
  <c r="A271" i="2"/>
  <c r="H271" i="2" l="1"/>
  <c r="M271" i="2" s="1"/>
  <c r="K271" i="2" s="1"/>
  <c r="D271" i="2"/>
  <c r="B272" i="2" s="1"/>
  <c r="F271" i="2" l="1"/>
  <c r="E271" i="2"/>
  <c r="L271" i="2"/>
  <c r="I272" i="2"/>
  <c r="J272" i="2" s="1"/>
  <c r="A272" i="2"/>
  <c r="C272" i="2"/>
  <c r="H272" i="2" l="1"/>
  <c r="M272" i="2" s="1"/>
  <c r="K272" i="2" s="1"/>
  <c r="D272" i="2"/>
  <c r="B273" i="2" s="1"/>
  <c r="E272" i="2" l="1"/>
  <c r="F272" i="2"/>
  <c r="I273" i="2"/>
  <c r="J273" i="2" s="1"/>
  <c r="L272" i="2"/>
  <c r="C273" i="2"/>
  <c r="A273" i="2"/>
  <c r="D273" i="2" l="1"/>
  <c r="B274" i="2" s="1"/>
  <c r="H273" i="2"/>
  <c r="M273" i="2" s="1"/>
  <c r="K273" i="2" s="1"/>
  <c r="I274" i="2" s="1"/>
  <c r="J274" i="2" s="1"/>
  <c r="F273" i="2" l="1"/>
  <c r="E273" i="2"/>
  <c r="L273" i="2"/>
  <c r="C274" i="2"/>
  <c r="A274" i="2"/>
  <c r="H274" i="2" l="1"/>
  <c r="M274" i="2" s="1"/>
  <c r="K274" i="2" s="1"/>
  <c r="D274" i="2"/>
  <c r="B275" i="2" s="1"/>
  <c r="E274" i="2" l="1"/>
  <c r="F274" i="2"/>
  <c r="L274" i="2"/>
  <c r="I275" i="2"/>
  <c r="J275" i="2" s="1"/>
  <c r="C275" i="2"/>
  <c r="A275" i="2"/>
  <c r="H275" i="2" l="1"/>
  <c r="M275" i="2" s="1"/>
  <c r="K275" i="2" s="1"/>
  <c r="D275" i="2"/>
  <c r="B276" i="2" s="1"/>
  <c r="E275" i="2" l="1"/>
  <c r="F275" i="2"/>
  <c r="I276" i="2"/>
  <c r="J276" i="2" s="1"/>
  <c r="L275" i="2"/>
  <c r="C276" i="2"/>
  <c r="A276" i="2"/>
  <c r="H276" i="2" l="1"/>
  <c r="M276" i="2" s="1"/>
  <c r="K276" i="2" s="1"/>
  <c r="D276" i="2"/>
  <c r="B277" i="2" s="1"/>
  <c r="L276" i="2" l="1"/>
  <c r="I277" i="2"/>
  <c r="J277" i="2" s="1"/>
  <c r="E276" i="2"/>
  <c r="F276" i="2"/>
  <c r="C277" i="2"/>
  <c r="A277" i="2"/>
  <c r="D277" i="2" l="1"/>
  <c r="B278" i="2" s="1"/>
  <c r="H277" i="2"/>
  <c r="M277" i="2" s="1"/>
  <c r="K277" i="2" s="1"/>
  <c r="E277" i="2" l="1"/>
  <c r="F277" i="2"/>
  <c r="L277" i="2"/>
  <c r="I278" i="2"/>
  <c r="J278" i="2" s="1"/>
  <c r="C278" i="2"/>
  <c r="A278" i="2"/>
  <c r="H278" i="2" l="1"/>
  <c r="M278" i="2" s="1"/>
  <c r="K278" i="2" s="1"/>
  <c r="D278" i="2"/>
  <c r="B279" i="2" s="1"/>
  <c r="F278" i="2" l="1"/>
  <c r="E278" i="2"/>
  <c r="L278" i="2"/>
  <c r="I279" i="2"/>
  <c r="J279" i="2" s="1"/>
  <c r="C279" i="2"/>
  <c r="A279" i="2"/>
  <c r="D279" i="2" l="1"/>
  <c r="B280" i="2" s="1"/>
  <c r="H279" i="2"/>
  <c r="M279" i="2" s="1"/>
  <c r="K279" i="2" s="1"/>
  <c r="F279" i="2" l="1"/>
  <c r="E279" i="2"/>
  <c r="I280" i="2"/>
  <c r="J280" i="2" s="1"/>
  <c r="L279" i="2"/>
  <c r="C280" i="2"/>
  <c r="A280" i="2"/>
  <c r="H280" i="2" l="1"/>
  <c r="M280" i="2" s="1"/>
  <c r="K280" i="2" s="1"/>
  <c r="D280" i="2"/>
  <c r="B281" i="2" s="1"/>
  <c r="E280" i="2" l="1"/>
  <c r="F280" i="2"/>
  <c r="L280" i="2"/>
  <c r="I281" i="2"/>
  <c r="J281" i="2" s="1"/>
  <c r="A281" i="2"/>
  <c r="C281" i="2"/>
  <c r="H281" i="2" l="1"/>
  <c r="M281" i="2" s="1"/>
  <c r="K281" i="2" s="1"/>
  <c r="D281" i="2"/>
  <c r="B282" i="2" s="1"/>
  <c r="E281" i="2" l="1"/>
  <c r="F281" i="2"/>
  <c r="I282" i="2"/>
  <c r="J282" i="2" s="1"/>
  <c r="L281" i="2"/>
  <c r="A282" i="2"/>
  <c r="C282" i="2"/>
  <c r="H282" i="2" l="1"/>
  <c r="M282" i="2" s="1"/>
  <c r="K282" i="2" s="1"/>
  <c r="D282" i="2"/>
  <c r="B283" i="2" s="1"/>
  <c r="E282" i="2" l="1"/>
  <c r="F282" i="2"/>
  <c r="I283" i="2"/>
  <c r="J283" i="2" s="1"/>
  <c r="L282" i="2"/>
  <c r="C283" i="2"/>
  <c r="A283" i="2"/>
  <c r="H283" i="2" l="1"/>
  <c r="M283" i="2" s="1"/>
  <c r="K283" i="2" s="1"/>
  <c r="D283" i="2"/>
  <c r="B284" i="2" s="1"/>
  <c r="E283" i="2" l="1"/>
  <c r="F283" i="2"/>
  <c r="I284" i="2"/>
  <c r="J284" i="2" s="1"/>
  <c r="L283" i="2"/>
  <c r="C284" i="2"/>
  <c r="A284" i="2"/>
  <c r="D284" i="2" l="1"/>
  <c r="B285" i="2" s="1"/>
  <c r="H284" i="2"/>
  <c r="M284" i="2" s="1"/>
  <c r="K284" i="2" s="1"/>
  <c r="F284" i="2" l="1"/>
  <c r="E284" i="2"/>
  <c r="L284" i="2"/>
  <c r="I285" i="2"/>
  <c r="J285" i="2" s="1"/>
  <c r="A285" i="2"/>
  <c r="C285" i="2"/>
  <c r="D285" i="2" l="1"/>
  <c r="B286" i="2" s="1"/>
  <c r="H285" i="2"/>
  <c r="M285" i="2" s="1"/>
  <c r="K285" i="2" s="1"/>
  <c r="F285" i="2" l="1"/>
  <c r="C286" i="2"/>
  <c r="A286" i="2"/>
  <c r="L285" i="2"/>
  <c r="I286" i="2"/>
  <c r="J286" i="2" s="1"/>
  <c r="E285" i="2"/>
  <c r="D286" i="2" l="1"/>
  <c r="B287" i="2" s="1"/>
  <c r="H286" i="2"/>
  <c r="M286" i="2" s="1"/>
  <c r="K286" i="2" s="1"/>
  <c r="F286" i="2" l="1"/>
  <c r="E286" i="2"/>
  <c r="I287" i="2"/>
  <c r="J287" i="2" s="1"/>
  <c r="L286" i="2"/>
  <c r="A287" i="2"/>
  <c r="C287" i="2"/>
  <c r="H287" i="2" l="1"/>
  <c r="M287" i="2" s="1"/>
  <c r="K287" i="2" s="1"/>
  <c r="D287" i="2"/>
  <c r="B288" i="2" s="1"/>
  <c r="F287" i="2" l="1"/>
  <c r="I288" i="2"/>
  <c r="J288" i="2" s="1"/>
  <c r="L287" i="2"/>
  <c r="A288" i="2"/>
  <c r="C288" i="2"/>
  <c r="E287" i="2"/>
  <c r="H288" i="2" l="1"/>
  <c r="M288" i="2" s="1"/>
  <c r="K288" i="2" s="1"/>
  <c r="D288" i="2"/>
  <c r="B289" i="2" s="1"/>
  <c r="E288" i="2" l="1"/>
  <c r="L288" i="2"/>
  <c r="I289" i="2"/>
  <c r="J289" i="2" s="1"/>
  <c r="C289" i="2"/>
  <c r="A289" i="2"/>
  <c r="F288" i="2"/>
  <c r="D289" i="2" l="1"/>
  <c r="B290" i="2" s="1"/>
  <c r="H289" i="2"/>
  <c r="M289" i="2" s="1"/>
  <c r="K289" i="2" s="1"/>
  <c r="E289" i="2" l="1"/>
  <c r="L289" i="2"/>
  <c r="I290" i="2"/>
  <c r="J290" i="2" s="1"/>
  <c r="F289" i="2"/>
  <c r="A290" i="2"/>
  <c r="C290" i="2"/>
  <c r="H290" i="2" l="1"/>
  <c r="M290" i="2" s="1"/>
  <c r="K290" i="2" s="1"/>
  <c r="D290" i="2"/>
  <c r="B291" i="2" s="1"/>
  <c r="I291" i="2" l="1"/>
  <c r="J291" i="2" s="1"/>
  <c r="L290" i="2"/>
  <c r="E290" i="2"/>
  <c r="F290" i="2"/>
  <c r="C291" i="2"/>
  <c r="A291" i="2"/>
  <c r="H291" i="2" l="1"/>
  <c r="M291" i="2" s="1"/>
  <c r="K291" i="2" s="1"/>
  <c r="D291" i="2"/>
  <c r="B292" i="2" s="1"/>
  <c r="L291" i="2" l="1"/>
  <c r="I292" i="2"/>
  <c r="J292" i="2" s="1"/>
  <c r="F291" i="2"/>
  <c r="C292" i="2"/>
  <c r="A292" i="2"/>
  <c r="E291" i="2"/>
  <c r="H292" i="2" l="1"/>
  <c r="M292" i="2" s="1"/>
  <c r="K292" i="2" s="1"/>
  <c r="D292" i="2"/>
  <c r="B293" i="2" s="1"/>
  <c r="E292" i="2" l="1"/>
  <c r="F292" i="2"/>
  <c r="L292" i="2"/>
  <c r="I293" i="2"/>
  <c r="J293" i="2" s="1"/>
  <c r="C293" i="2"/>
  <c r="A293" i="2"/>
  <c r="D293" i="2" l="1"/>
  <c r="B294" i="2" s="1"/>
  <c r="H293" i="2"/>
  <c r="M293" i="2" s="1"/>
  <c r="K293" i="2" s="1"/>
  <c r="E293" i="2" l="1"/>
  <c r="I294" i="2"/>
  <c r="J294" i="2" s="1"/>
  <c r="L293" i="2"/>
  <c r="C294" i="2"/>
  <c r="A294" i="2"/>
  <c r="F293" i="2"/>
  <c r="D294" i="2" l="1"/>
  <c r="B295" i="2" s="1"/>
  <c r="H294" i="2"/>
  <c r="M294" i="2" s="1"/>
  <c r="K294" i="2" s="1"/>
  <c r="E294" i="2" l="1"/>
  <c r="F294" i="2"/>
  <c r="I295" i="2"/>
  <c r="J295" i="2" s="1"/>
  <c r="L294" i="2"/>
  <c r="C295" i="2"/>
  <c r="A295" i="2"/>
  <c r="H295" i="2" l="1"/>
  <c r="M295" i="2" s="1"/>
  <c r="K295" i="2" s="1"/>
  <c r="D295" i="2"/>
  <c r="B296" i="2" s="1"/>
  <c r="E295" i="2" l="1"/>
  <c r="F295" i="2"/>
  <c r="C296" i="2"/>
  <c r="A296" i="2"/>
  <c r="I296" i="2"/>
  <c r="J296" i="2" s="1"/>
  <c r="L295" i="2"/>
  <c r="H296" i="2" l="1"/>
  <c r="M296" i="2" s="1"/>
  <c r="K296" i="2" s="1"/>
  <c r="D296" i="2"/>
  <c r="B297" i="2" s="1"/>
  <c r="E296" i="2" l="1"/>
  <c r="F296" i="2"/>
  <c r="L296" i="2"/>
  <c r="I297" i="2"/>
  <c r="J297" i="2" s="1"/>
  <c r="A297" i="2"/>
  <c r="C297" i="2"/>
  <c r="H297" i="2" l="1"/>
  <c r="M297" i="2" s="1"/>
  <c r="K297" i="2" s="1"/>
  <c r="D297" i="2"/>
  <c r="B298" i="2" s="1"/>
  <c r="L297" i="2" l="1"/>
  <c r="I298" i="2"/>
  <c r="J298" i="2" s="1"/>
  <c r="F297" i="2"/>
  <c r="C298" i="2"/>
  <c r="A298" i="2"/>
  <c r="E297" i="2"/>
  <c r="D298" i="2" l="1"/>
  <c r="B299" i="2" s="1"/>
  <c r="H298" i="2"/>
  <c r="M298" i="2" s="1"/>
  <c r="K298" i="2" s="1"/>
  <c r="F298" i="2" l="1"/>
  <c r="E298" i="2"/>
  <c r="I299" i="2"/>
  <c r="J299" i="2" s="1"/>
  <c r="L298" i="2"/>
  <c r="C299" i="2"/>
  <c r="A299" i="2"/>
  <c r="H299" i="2" l="1"/>
  <c r="M299" i="2" s="1"/>
  <c r="K299" i="2" s="1"/>
  <c r="D299" i="2"/>
  <c r="B300" i="2" s="1"/>
  <c r="F299" i="2" l="1"/>
  <c r="E299" i="2"/>
  <c r="I300" i="2"/>
  <c r="J300" i="2" s="1"/>
  <c r="L299" i="2"/>
  <c r="A300" i="2"/>
  <c r="C300" i="2"/>
  <c r="D300" i="2" l="1"/>
  <c r="B301" i="2" s="1"/>
  <c r="H300" i="2"/>
  <c r="M300" i="2" s="1"/>
  <c r="K300" i="2" s="1"/>
  <c r="E300" i="2" l="1"/>
  <c r="F300" i="2"/>
  <c r="L300" i="2"/>
  <c r="I301" i="2"/>
  <c r="J301" i="2" s="1"/>
  <c r="C301" i="2"/>
  <c r="A301" i="2"/>
  <c r="D301" i="2" l="1"/>
  <c r="B302" i="2" s="1"/>
  <c r="H301" i="2"/>
  <c r="M301" i="2" s="1"/>
  <c r="K301" i="2" s="1"/>
  <c r="F301" i="2" l="1"/>
  <c r="E301" i="2"/>
  <c r="I302" i="2"/>
  <c r="J302" i="2" s="1"/>
  <c r="L301" i="2"/>
  <c r="A302" i="2"/>
  <c r="C302" i="2"/>
  <c r="H302" i="2" l="1"/>
  <c r="M302" i="2" s="1"/>
  <c r="K302" i="2" s="1"/>
  <c r="D302" i="2"/>
  <c r="B303" i="2" s="1"/>
  <c r="F302" i="2" l="1"/>
  <c r="E302" i="2"/>
  <c r="I303" i="2"/>
  <c r="J303" i="2" s="1"/>
  <c r="L302" i="2"/>
  <c r="C303" i="2"/>
  <c r="A303" i="2"/>
  <c r="D303" i="2" l="1"/>
  <c r="B304" i="2" s="1"/>
  <c r="H303" i="2"/>
  <c r="M303" i="2" s="1"/>
  <c r="K303" i="2" s="1"/>
  <c r="F303" i="2" l="1"/>
  <c r="L303" i="2"/>
  <c r="I304" i="2"/>
  <c r="J304" i="2" s="1"/>
  <c r="C304" i="2"/>
  <c r="A304" i="2"/>
  <c r="E303" i="2"/>
  <c r="D304" i="2" l="1"/>
  <c r="B305" i="2" s="1"/>
  <c r="H304" i="2"/>
  <c r="M304" i="2" s="1"/>
  <c r="K304" i="2" s="1"/>
  <c r="C305" i="2" l="1"/>
  <c r="A305" i="2"/>
  <c r="L304" i="2"/>
  <c r="I305" i="2"/>
  <c r="J305" i="2" s="1"/>
  <c r="F304" i="2"/>
  <c r="E304" i="2"/>
  <c r="H305" i="2" l="1"/>
  <c r="M305" i="2" s="1"/>
  <c r="K305" i="2" s="1"/>
  <c r="D305" i="2"/>
  <c r="B306" i="2" s="1"/>
  <c r="E305" i="2" l="1"/>
  <c r="F305" i="2"/>
  <c r="L305" i="2"/>
  <c r="I306" i="2"/>
  <c r="J306" i="2" s="1"/>
  <c r="C306" i="2"/>
  <c r="A306" i="2"/>
  <c r="H306" i="2" l="1"/>
  <c r="M306" i="2" s="1"/>
  <c r="K306" i="2" s="1"/>
  <c r="D306" i="2"/>
  <c r="B307" i="2" s="1"/>
  <c r="E306" i="2" l="1"/>
  <c r="L306" i="2"/>
  <c r="I307" i="2"/>
  <c r="J307" i="2" s="1"/>
  <c r="C307" i="2"/>
  <c r="A307" i="2"/>
  <c r="F306" i="2"/>
  <c r="H307" i="2" l="1"/>
  <c r="M307" i="2" s="1"/>
  <c r="K307" i="2" s="1"/>
  <c r="D307" i="2"/>
  <c r="B308" i="2" s="1"/>
  <c r="E307" i="2" l="1"/>
  <c r="F307" i="2"/>
  <c r="I308" i="2"/>
  <c r="J308" i="2" s="1"/>
  <c r="L307" i="2"/>
  <c r="C308" i="2"/>
  <c r="A308" i="2"/>
  <c r="D308" i="2" l="1"/>
  <c r="B309" i="2" s="1"/>
  <c r="H308" i="2"/>
  <c r="M308" i="2" s="1"/>
  <c r="K308" i="2" s="1"/>
  <c r="E308" i="2" l="1"/>
  <c r="F308" i="2"/>
  <c r="I309" i="2"/>
  <c r="J309" i="2" s="1"/>
  <c r="L308" i="2"/>
  <c r="A309" i="2"/>
  <c r="C309" i="2"/>
  <c r="D309" i="2" l="1"/>
  <c r="B310" i="2" s="1"/>
  <c r="H309" i="2"/>
  <c r="M309" i="2" s="1"/>
  <c r="K309" i="2" s="1"/>
  <c r="E309" i="2" l="1"/>
  <c r="F309" i="2"/>
  <c r="L309" i="2"/>
  <c r="I310" i="2"/>
  <c r="J310" i="2" s="1"/>
  <c r="C310" i="2"/>
  <c r="A310" i="2"/>
  <c r="D310" i="2" l="1"/>
  <c r="B311" i="2" s="1"/>
  <c r="H310" i="2"/>
  <c r="M310" i="2" s="1"/>
  <c r="K310" i="2" s="1"/>
  <c r="F310" i="2" l="1"/>
  <c r="E310" i="2"/>
  <c r="L310" i="2"/>
  <c r="I311" i="2"/>
  <c r="J311" i="2" s="1"/>
  <c r="C311" i="2"/>
  <c r="A311" i="2"/>
  <c r="D311" i="2" l="1"/>
  <c r="B312" i="2" s="1"/>
  <c r="H311" i="2"/>
  <c r="M311" i="2" s="1"/>
  <c r="K311" i="2" s="1"/>
  <c r="E311" i="2" l="1"/>
  <c r="L311" i="2"/>
  <c r="I312" i="2"/>
  <c r="J312" i="2" s="1"/>
  <c r="F311" i="2"/>
  <c r="C312" i="2"/>
  <c r="A312" i="2"/>
  <c r="H312" i="2" l="1"/>
  <c r="M312" i="2" s="1"/>
  <c r="K312" i="2" s="1"/>
  <c r="D312" i="2"/>
  <c r="B313" i="2" s="1"/>
  <c r="F312" i="2" l="1"/>
  <c r="E312" i="2"/>
  <c r="I313" i="2"/>
  <c r="J313" i="2" s="1"/>
  <c r="L312" i="2"/>
  <c r="C313" i="2"/>
  <c r="A313" i="2"/>
  <c r="H313" i="2" l="1"/>
  <c r="M313" i="2" s="1"/>
  <c r="K313" i="2" s="1"/>
  <c r="D313" i="2"/>
  <c r="B314" i="2" s="1"/>
  <c r="L313" i="2" l="1"/>
  <c r="I314" i="2"/>
  <c r="J314" i="2" s="1"/>
  <c r="F313" i="2"/>
  <c r="E313" i="2"/>
  <c r="C314" i="2"/>
  <c r="A314" i="2"/>
  <c r="D314" i="2" l="1"/>
  <c r="B315" i="2" s="1"/>
  <c r="H314" i="2"/>
  <c r="M314" i="2" s="1"/>
  <c r="K314" i="2" s="1"/>
  <c r="F314" i="2" l="1"/>
  <c r="E314" i="2"/>
  <c r="L314" i="2"/>
  <c r="I315" i="2"/>
  <c r="J315" i="2" s="1"/>
  <c r="C315" i="2"/>
  <c r="A315" i="2"/>
  <c r="D315" i="2" l="1"/>
  <c r="B316" i="2" s="1"/>
  <c r="H315" i="2"/>
  <c r="M315" i="2" s="1"/>
  <c r="K315" i="2" s="1"/>
  <c r="F315" i="2" l="1"/>
  <c r="E315" i="2"/>
  <c r="L315" i="2"/>
  <c r="I316" i="2"/>
  <c r="J316" i="2" s="1"/>
  <c r="C316" i="2"/>
  <c r="A316" i="2"/>
  <c r="D316" i="2" l="1"/>
  <c r="B317" i="2" s="1"/>
  <c r="H316" i="2"/>
  <c r="M316" i="2" s="1"/>
  <c r="K316" i="2" s="1"/>
  <c r="E316" i="2" l="1"/>
  <c r="F316" i="2"/>
  <c r="I317" i="2"/>
  <c r="J317" i="2" s="1"/>
  <c r="L316" i="2"/>
  <c r="C317" i="2"/>
  <c r="A317" i="2"/>
  <c r="H317" i="2" l="1"/>
  <c r="M317" i="2" s="1"/>
  <c r="K317" i="2" s="1"/>
  <c r="D317" i="2"/>
  <c r="B318" i="2" s="1"/>
  <c r="F317" i="2" l="1"/>
  <c r="E317" i="2"/>
  <c r="L317" i="2"/>
  <c r="I318" i="2"/>
  <c r="J318" i="2" s="1"/>
  <c r="C318" i="2"/>
  <c r="A318" i="2"/>
  <c r="H318" i="2" l="1"/>
  <c r="M318" i="2" s="1"/>
  <c r="K318" i="2" s="1"/>
  <c r="D318" i="2"/>
  <c r="B319" i="2" s="1"/>
  <c r="I319" i="2" l="1"/>
  <c r="J319" i="2" s="1"/>
  <c r="L318" i="2"/>
  <c r="E318" i="2"/>
  <c r="A319" i="2"/>
  <c r="C319" i="2"/>
  <c r="F318" i="2"/>
  <c r="H319" i="2" l="1"/>
  <c r="M319" i="2" s="1"/>
  <c r="K319" i="2" s="1"/>
  <c r="D319" i="2"/>
  <c r="B320" i="2" s="1"/>
  <c r="F319" i="2" l="1"/>
  <c r="E319" i="2"/>
  <c r="C320" i="2"/>
  <c r="A320" i="2"/>
  <c r="L319" i="2"/>
  <c r="I320" i="2"/>
  <c r="J320" i="2" s="1"/>
  <c r="D320" i="2" l="1"/>
  <c r="B321" i="2" s="1"/>
  <c r="H320" i="2"/>
  <c r="M320" i="2" s="1"/>
  <c r="K320" i="2" s="1"/>
  <c r="F320" i="2" l="1"/>
  <c r="E320" i="2"/>
  <c r="I321" i="2"/>
  <c r="J321" i="2" s="1"/>
  <c r="L320" i="2"/>
  <c r="A321" i="2"/>
  <c r="C321" i="2"/>
  <c r="D321" i="2" l="1"/>
  <c r="B322" i="2" s="1"/>
  <c r="H321" i="2"/>
  <c r="M321" i="2" s="1"/>
  <c r="K321" i="2" s="1"/>
  <c r="L321" i="2" l="1"/>
  <c r="I322" i="2"/>
  <c r="J322" i="2" s="1"/>
  <c r="C322" i="2"/>
  <c r="A322" i="2"/>
  <c r="E321" i="2"/>
  <c r="F321" i="2"/>
  <c r="H322" i="2" l="1"/>
  <c r="M322" i="2" s="1"/>
  <c r="K322" i="2" s="1"/>
  <c r="D322" i="2"/>
  <c r="B323" i="2" s="1"/>
  <c r="E322" i="2" l="1"/>
  <c r="F322" i="2"/>
  <c r="I323" i="2"/>
  <c r="J323" i="2" s="1"/>
  <c r="L322" i="2"/>
  <c r="C323" i="2"/>
  <c r="A323" i="2"/>
  <c r="H323" i="2" l="1"/>
  <c r="M323" i="2" s="1"/>
  <c r="K323" i="2" s="1"/>
  <c r="D323" i="2"/>
  <c r="B324" i="2" s="1"/>
  <c r="E323" i="2" l="1"/>
  <c r="F323" i="2"/>
  <c r="L323" i="2"/>
  <c r="I324" i="2"/>
  <c r="J324" i="2" s="1"/>
  <c r="C324" i="2"/>
  <c r="A324" i="2"/>
  <c r="D324" i="2" l="1"/>
  <c r="B325" i="2" s="1"/>
  <c r="H324" i="2"/>
  <c r="M324" i="2" s="1"/>
  <c r="K324" i="2" s="1"/>
  <c r="E324" i="2" l="1"/>
  <c r="F324" i="2"/>
  <c r="I325" i="2"/>
  <c r="J325" i="2" s="1"/>
  <c r="L324" i="2"/>
  <c r="C325" i="2"/>
  <c r="A325" i="2"/>
  <c r="D325" i="2" l="1"/>
  <c r="B326" i="2" s="1"/>
  <c r="H325" i="2"/>
  <c r="M325" i="2" s="1"/>
  <c r="K325" i="2" s="1"/>
  <c r="I326" i="2" l="1"/>
  <c r="J326" i="2" s="1"/>
  <c r="L325" i="2"/>
  <c r="C326" i="2"/>
  <c r="A326" i="2"/>
  <c r="F325" i="2"/>
  <c r="E325" i="2"/>
  <c r="D326" i="2" l="1"/>
  <c r="B327" i="2" s="1"/>
  <c r="H326" i="2"/>
  <c r="M326" i="2" s="1"/>
  <c r="K326" i="2" s="1"/>
  <c r="F326" i="2" l="1"/>
  <c r="E326" i="2"/>
  <c r="I327" i="2"/>
  <c r="J327" i="2" s="1"/>
  <c r="L326" i="2"/>
  <c r="A327" i="2"/>
  <c r="C327" i="2"/>
  <c r="D327" i="2" l="1"/>
  <c r="B328" i="2" s="1"/>
  <c r="H327" i="2"/>
  <c r="M327" i="2" s="1"/>
  <c r="K327" i="2" s="1"/>
  <c r="F327" i="2" l="1"/>
  <c r="E327" i="2"/>
  <c r="I328" i="2"/>
  <c r="J328" i="2" s="1"/>
  <c r="L327" i="2"/>
  <c r="A328" i="2"/>
  <c r="C328" i="2"/>
  <c r="D328" i="2" l="1"/>
  <c r="B329" i="2" s="1"/>
  <c r="H328" i="2"/>
  <c r="M328" i="2" s="1"/>
  <c r="K328" i="2" s="1"/>
  <c r="E328" i="2" l="1"/>
  <c r="F328" i="2"/>
  <c r="I329" i="2"/>
  <c r="J329" i="2" s="1"/>
  <c r="L328" i="2"/>
  <c r="A329" i="2"/>
  <c r="C329" i="2"/>
  <c r="H329" i="2" l="1"/>
  <c r="M329" i="2" s="1"/>
  <c r="K329" i="2" s="1"/>
  <c r="D329" i="2"/>
  <c r="B330" i="2" s="1"/>
  <c r="F329" i="2" l="1"/>
  <c r="L329" i="2"/>
  <c r="I330" i="2"/>
  <c r="J330" i="2" s="1"/>
  <c r="C330" i="2"/>
  <c r="A330" i="2"/>
  <c r="E329" i="2"/>
  <c r="H330" i="2" l="1"/>
  <c r="M330" i="2" s="1"/>
  <c r="K330" i="2" s="1"/>
  <c r="D330" i="2"/>
  <c r="B331" i="2" s="1"/>
  <c r="E330" i="2" l="1"/>
  <c r="F330" i="2"/>
  <c r="L330" i="2"/>
  <c r="I331" i="2"/>
  <c r="J331" i="2" s="1"/>
  <c r="C331" i="2"/>
  <c r="A331" i="2"/>
  <c r="D331" i="2" l="1"/>
  <c r="B332" i="2" s="1"/>
  <c r="H331" i="2"/>
  <c r="M331" i="2" s="1"/>
  <c r="K331" i="2" s="1"/>
  <c r="E331" i="2" l="1"/>
  <c r="I332" i="2"/>
  <c r="J332" i="2" s="1"/>
  <c r="L331" i="2"/>
  <c r="F331" i="2"/>
  <c r="C332" i="2"/>
  <c r="A332" i="2"/>
  <c r="H332" i="2" l="1"/>
  <c r="M332" i="2" s="1"/>
  <c r="K332" i="2" s="1"/>
  <c r="D332" i="2"/>
  <c r="B333" i="2" s="1"/>
  <c r="I333" i="2" l="1"/>
  <c r="J333" i="2" s="1"/>
  <c r="L332" i="2"/>
  <c r="F332" i="2"/>
  <c r="C333" i="2"/>
  <c r="A333" i="2"/>
  <c r="E332" i="2"/>
  <c r="D333" i="2" l="1"/>
  <c r="B334" i="2" s="1"/>
  <c r="H333" i="2"/>
  <c r="M333" i="2" s="1"/>
  <c r="K333" i="2" s="1"/>
  <c r="E333" i="2" l="1"/>
  <c r="F333" i="2"/>
  <c r="I334" i="2"/>
  <c r="J334" i="2" s="1"/>
  <c r="L333" i="2"/>
  <c r="A334" i="2"/>
  <c r="C334" i="2"/>
  <c r="H334" i="2" l="1"/>
  <c r="M334" i="2" s="1"/>
  <c r="K334" i="2" s="1"/>
  <c r="D334" i="2"/>
  <c r="B335" i="2" s="1"/>
  <c r="E334" i="2" l="1"/>
  <c r="F334" i="2"/>
  <c r="L334" i="2"/>
  <c r="I335" i="2"/>
  <c r="J335" i="2" s="1"/>
  <c r="C335" i="2"/>
  <c r="A335" i="2"/>
  <c r="H335" i="2" l="1"/>
  <c r="M335" i="2" s="1"/>
  <c r="K335" i="2" s="1"/>
  <c r="D335" i="2"/>
  <c r="B336" i="2" s="1"/>
  <c r="F335" i="2" l="1"/>
  <c r="E335" i="2"/>
  <c r="L335" i="2"/>
  <c r="I336" i="2"/>
  <c r="J336" i="2" s="1"/>
  <c r="C336" i="2"/>
  <c r="A336" i="2"/>
  <c r="H336" i="2" l="1"/>
  <c r="M336" i="2" s="1"/>
  <c r="K336" i="2" s="1"/>
  <c r="D336" i="2"/>
  <c r="B337" i="2" s="1"/>
  <c r="I337" i="2" l="1"/>
  <c r="J337" i="2" s="1"/>
  <c r="L336" i="2"/>
  <c r="F336" i="2"/>
  <c r="C337" i="2"/>
  <c r="A337" i="2"/>
  <c r="E336" i="2"/>
  <c r="H337" i="2" l="1"/>
  <c r="M337" i="2" s="1"/>
  <c r="K337" i="2" s="1"/>
  <c r="D337" i="2"/>
  <c r="B338" i="2" s="1"/>
  <c r="E337" i="2" l="1"/>
  <c r="I338" i="2"/>
  <c r="J338" i="2" s="1"/>
  <c r="L337" i="2"/>
  <c r="F337" i="2"/>
  <c r="C338" i="2"/>
  <c r="A338" i="2"/>
  <c r="H338" i="2" l="1"/>
  <c r="M338" i="2" s="1"/>
  <c r="K338" i="2" s="1"/>
  <c r="D338" i="2"/>
  <c r="B339" i="2" s="1"/>
  <c r="E338" i="2" l="1"/>
  <c r="F338" i="2"/>
  <c r="L338" i="2"/>
  <c r="I339" i="2"/>
  <c r="J339" i="2" s="1"/>
  <c r="C339" i="2"/>
  <c r="A339" i="2"/>
  <c r="D339" i="2" l="1"/>
  <c r="B340" i="2" s="1"/>
  <c r="H339" i="2"/>
  <c r="M339" i="2" s="1"/>
  <c r="K339" i="2" s="1"/>
  <c r="E339" i="2" l="1"/>
  <c r="F339" i="2"/>
  <c r="I340" i="2"/>
  <c r="J340" i="2" s="1"/>
  <c r="L339" i="2"/>
  <c r="C340" i="2"/>
  <c r="A340" i="2"/>
  <c r="D340" i="2" l="1"/>
  <c r="B341" i="2" s="1"/>
  <c r="H340" i="2"/>
  <c r="M340" i="2" s="1"/>
  <c r="K340" i="2" s="1"/>
  <c r="F340" i="2" l="1"/>
  <c r="E340" i="2"/>
  <c r="L340" i="2"/>
  <c r="I341" i="2"/>
  <c r="J341" i="2" s="1"/>
  <c r="C341" i="2"/>
  <c r="A341" i="2"/>
  <c r="D341" i="2" l="1"/>
  <c r="B342" i="2" s="1"/>
  <c r="H341" i="2"/>
  <c r="M341" i="2" s="1"/>
  <c r="K341" i="2" s="1"/>
  <c r="E341" i="2" l="1"/>
  <c r="F341" i="2"/>
  <c r="L341" i="2"/>
  <c r="I342" i="2"/>
  <c r="J342" i="2" s="1"/>
  <c r="C342" i="2"/>
  <c r="A342" i="2"/>
  <c r="D342" i="2" l="1"/>
  <c r="B343" i="2" s="1"/>
  <c r="H342" i="2"/>
  <c r="M342" i="2" s="1"/>
  <c r="K342" i="2" s="1"/>
  <c r="E342" i="2" l="1"/>
  <c r="F342" i="2"/>
  <c r="I343" i="2"/>
  <c r="J343" i="2" s="1"/>
  <c r="L342" i="2"/>
  <c r="C343" i="2"/>
  <c r="A343" i="2"/>
  <c r="D343" i="2" l="1"/>
  <c r="B344" i="2" s="1"/>
  <c r="H343" i="2"/>
  <c r="M343" i="2" s="1"/>
  <c r="K343" i="2" s="1"/>
  <c r="F343" i="2" l="1"/>
  <c r="E343" i="2"/>
  <c r="I344" i="2"/>
  <c r="J344" i="2" s="1"/>
  <c r="L343" i="2"/>
  <c r="C344" i="2"/>
  <c r="A344" i="2"/>
  <c r="H344" i="2" l="1"/>
  <c r="M344" i="2" s="1"/>
  <c r="K344" i="2" s="1"/>
  <c r="D344" i="2"/>
  <c r="B345" i="2" s="1"/>
  <c r="F344" i="2" l="1"/>
  <c r="E344" i="2"/>
  <c r="L344" i="2"/>
  <c r="I345" i="2"/>
  <c r="J345" i="2" s="1"/>
  <c r="C345" i="2"/>
  <c r="A345" i="2"/>
  <c r="D345" i="2" l="1"/>
  <c r="B346" i="2" s="1"/>
  <c r="H345" i="2"/>
  <c r="M345" i="2" s="1"/>
  <c r="K345" i="2" s="1"/>
  <c r="F345" i="2" l="1"/>
  <c r="E345" i="2"/>
  <c r="L345" i="2"/>
  <c r="I346" i="2"/>
  <c r="J346" i="2" s="1"/>
  <c r="A346" i="2"/>
  <c r="C346" i="2"/>
  <c r="D346" i="2" l="1"/>
  <c r="B347" i="2" s="1"/>
  <c r="H346" i="2"/>
  <c r="M346" i="2" s="1"/>
  <c r="K346" i="2" s="1"/>
  <c r="E346" i="2" l="1"/>
  <c r="F346" i="2"/>
  <c r="L346" i="2"/>
  <c r="I347" i="2"/>
  <c r="J347" i="2" s="1"/>
  <c r="C347" i="2"/>
  <c r="A347" i="2"/>
  <c r="H347" i="2" l="1"/>
  <c r="M347" i="2" s="1"/>
  <c r="K347" i="2" s="1"/>
  <c r="D347" i="2"/>
  <c r="B348" i="2" s="1"/>
  <c r="F347" i="2" l="1"/>
  <c r="E347" i="2"/>
  <c r="I348" i="2"/>
  <c r="J348" i="2" s="1"/>
  <c r="L347" i="2"/>
  <c r="C348" i="2"/>
  <c r="A348" i="2"/>
  <c r="H348" i="2" l="1"/>
  <c r="M348" i="2" s="1"/>
  <c r="K348" i="2" s="1"/>
  <c r="D348" i="2"/>
  <c r="B349" i="2" s="1"/>
  <c r="F348" i="2" l="1"/>
  <c r="I349" i="2"/>
  <c r="J349" i="2" s="1"/>
  <c r="L348" i="2"/>
  <c r="C349" i="2"/>
  <c r="A349" i="2"/>
  <c r="E348" i="2"/>
  <c r="D349" i="2" l="1"/>
  <c r="B350" i="2" s="1"/>
  <c r="H349" i="2"/>
  <c r="M349" i="2" s="1"/>
  <c r="K349" i="2" s="1"/>
  <c r="F349" i="2" l="1"/>
  <c r="E349" i="2"/>
  <c r="I350" i="2"/>
  <c r="J350" i="2" s="1"/>
  <c r="L349" i="2"/>
  <c r="A350" i="2"/>
  <c r="C350" i="2"/>
  <c r="H350" i="2" l="1"/>
  <c r="M350" i="2" s="1"/>
  <c r="K350" i="2" s="1"/>
  <c r="D350" i="2"/>
  <c r="B351" i="2" s="1"/>
  <c r="E350" i="2" l="1"/>
  <c r="I351" i="2"/>
  <c r="J351" i="2" s="1"/>
  <c r="L350" i="2"/>
  <c r="F350" i="2"/>
  <c r="A351" i="2"/>
  <c r="C351" i="2"/>
  <c r="D351" i="2" l="1"/>
  <c r="B352" i="2" s="1"/>
  <c r="H351" i="2"/>
  <c r="M351" i="2" s="1"/>
  <c r="K351" i="2" s="1"/>
  <c r="F351" i="2" l="1"/>
  <c r="E351" i="2"/>
  <c r="I352" i="2"/>
  <c r="J352" i="2" s="1"/>
  <c r="L351" i="2"/>
  <c r="C352" i="2"/>
  <c r="A352" i="2"/>
  <c r="D352" i="2" l="1"/>
  <c r="B353" i="2" s="1"/>
  <c r="H352" i="2"/>
  <c r="M352" i="2" s="1"/>
  <c r="K352" i="2" s="1"/>
  <c r="F352" i="2" l="1"/>
  <c r="E352" i="2"/>
  <c r="I353" i="2"/>
  <c r="J353" i="2" s="1"/>
  <c r="L352" i="2"/>
  <c r="C353" i="2"/>
  <c r="A353" i="2"/>
  <c r="H353" i="2" l="1"/>
  <c r="M353" i="2" s="1"/>
  <c r="K353" i="2" s="1"/>
  <c r="D353" i="2"/>
  <c r="B354" i="2" s="1"/>
  <c r="E353" i="2" l="1"/>
  <c r="L353" i="2"/>
  <c r="I354" i="2"/>
  <c r="J354" i="2" s="1"/>
  <c r="F353" i="2"/>
  <c r="C354" i="2"/>
  <c r="A354" i="2"/>
  <c r="D354" i="2" l="1"/>
  <c r="B355" i="2" s="1"/>
  <c r="H354" i="2"/>
  <c r="M354" i="2" s="1"/>
  <c r="K354" i="2" s="1"/>
  <c r="L354" i="2" s="1"/>
  <c r="C355" i="2" l="1"/>
  <c r="A355" i="2"/>
  <c r="I355" i="2"/>
  <c r="J355" i="2" s="1"/>
  <c r="F354" i="2"/>
  <c r="E354" i="2"/>
  <c r="H355" i="2" l="1"/>
  <c r="M355" i="2" s="1"/>
  <c r="K355" i="2" s="1"/>
  <c r="D355" i="2"/>
  <c r="B356" i="2" s="1"/>
  <c r="E355" i="2" l="1"/>
  <c r="F355" i="2"/>
  <c r="L355" i="2"/>
  <c r="I356" i="2"/>
  <c r="J356" i="2" s="1"/>
  <c r="A356" i="2"/>
  <c r="C356" i="2"/>
  <c r="H356" i="2" l="1"/>
  <c r="M356" i="2" s="1"/>
  <c r="K356" i="2" s="1"/>
  <c r="D356" i="2"/>
  <c r="B357" i="2" s="1"/>
  <c r="I357" i="2" l="1"/>
  <c r="J357" i="2" s="1"/>
  <c r="L356" i="2"/>
  <c r="F356" i="2"/>
  <c r="C357" i="2"/>
  <c r="A357" i="2"/>
  <c r="E356" i="2"/>
  <c r="D357" i="2" l="1"/>
  <c r="B358" i="2" s="1"/>
  <c r="H357" i="2"/>
  <c r="M357" i="2" s="1"/>
  <c r="K357" i="2" s="1"/>
  <c r="E357" i="2" l="1"/>
  <c r="F357" i="2"/>
  <c r="L357" i="2"/>
  <c r="I358" i="2"/>
  <c r="J358" i="2" s="1"/>
  <c r="A358" i="2"/>
  <c r="C358" i="2"/>
  <c r="D358" i="2" l="1"/>
  <c r="B359" i="2" s="1"/>
  <c r="H358" i="2"/>
  <c r="M358" i="2" s="1"/>
  <c r="K358" i="2" s="1"/>
  <c r="F358" i="2" l="1"/>
  <c r="L358" i="2"/>
  <c r="I359" i="2"/>
  <c r="J359" i="2" s="1"/>
  <c r="E358" i="2"/>
  <c r="A359" i="2"/>
  <c r="C359" i="2"/>
  <c r="H359" i="2" l="1"/>
  <c r="M359" i="2" s="1"/>
  <c r="K359" i="2" s="1"/>
  <c r="D359" i="2"/>
  <c r="B360" i="2" s="1"/>
  <c r="F359" i="2" l="1"/>
  <c r="E359" i="2"/>
  <c r="C360" i="2"/>
  <c r="A360" i="2"/>
  <c r="I360" i="2"/>
  <c r="J360" i="2" s="1"/>
  <c r="L359" i="2"/>
  <c r="D360" i="2" l="1"/>
  <c r="B361" i="2" s="1"/>
  <c r="H360" i="2"/>
  <c r="M360" i="2" s="1"/>
  <c r="K360" i="2" s="1"/>
  <c r="E360" i="2" l="1"/>
  <c r="F360" i="2"/>
  <c r="L360" i="2"/>
  <c r="I361" i="2"/>
  <c r="J361" i="2" s="1"/>
  <c r="A361" i="2"/>
  <c r="C361" i="2"/>
  <c r="H361" i="2" l="1"/>
  <c r="M361" i="2" s="1"/>
  <c r="K361" i="2" s="1"/>
  <c r="D361" i="2"/>
  <c r="B362" i="2" s="1"/>
  <c r="E361" i="2" l="1"/>
  <c r="F361" i="2"/>
  <c r="L361" i="2"/>
  <c r="I362" i="2"/>
  <c r="J362" i="2" s="1"/>
  <c r="A362" i="2"/>
  <c r="C362" i="2"/>
  <c r="H362" i="2" l="1"/>
  <c r="M362" i="2" s="1"/>
  <c r="K362" i="2" s="1"/>
  <c r="D362" i="2"/>
  <c r="B363" i="2" s="1"/>
  <c r="E362" i="2" l="1"/>
  <c r="F362" i="2"/>
  <c r="C363" i="2"/>
  <c r="A363" i="2"/>
  <c r="L362" i="2"/>
  <c r="I363" i="2"/>
  <c r="J363" i="2" s="1"/>
  <c r="H363" i="2" l="1"/>
  <c r="M363" i="2" s="1"/>
  <c r="K363" i="2" s="1"/>
  <c r="D363" i="2"/>
  <c r="B364" i="2" s="1"/>
  <c r="F363" i="2" l="1"/>
  <c r="E363" i="2"/>
  <c r="I364" i="2"/>
  <c r="J364" i="2" s="1"/>
  <c r="L363" i="2"/>
  <c r="C364" i="2"/>
  <c r="A364" i="2"/>
  <c r="D364" i="2" l="1"/>
  <c r="B365" i="2" s="1"/>
  <c r="H364" i="2"/>
  <c r="M364" i="2" s="1"/>
  <c r="K364" i="2" s="1"/>
  <c r="F364" i="2" l="1"/>
  <c r="E364" i="2"/>
  <c r="L364" i="2"/>
  <c r="I365" i="2"/>
  <c r="J365" i="2" s="1"/>
  <c r="A365" i="2"/>
  <c r="C365" i="2"/>
  <c r="D365" i="2" l="1"/>
  <c r="B366" i="2" s="1"/>
  <c r="H365" i="2"/>
  <c r="M365" i="2" s="1"/>
  <c r="K365" i="2" s="1"/>
  <c r="L365" i="2" l="1"/>
  <c r="I366" i="2"/>
  <c r="J366" i="2" s="1"/>
  <c r="E365" i="2"/>
  <c r="F365" i="2"/>
  <c r="A366" i="2"/>
  <c r="C366" i="2"/>
  <c r="H366" i="2" l="1"/>
  <c r="M366" i="2" s="1"/>
  <c r="K366" i="2" s="1"/>
  <c r="D366" i="2"/>
  <c r="B367" i="2" s="1"/>
  <c r="F366" i="2" l="1"/>
  <c r="E366" i="2"/>
  <c r="C367" i="2"/>
  <c r="A367" i="2"/>
  <c r="L366" i="2"/>
  <c r="I367" i="2"/>
  <c r="J367" i="2" s="1"/>
  <c r="H367" i="2" l="1"/>
  <c r="M367" i="2" s="1"/>
  <c r="K367" i="2" s="1"/>
  <c r="D367" i="2"/>
  <c r="B368" i="2" s="1"/>
  <c r="E367" i="2" l="1"/>
  <c r="F367" i="2"/>
  <c r="C368" i="2"/>
  <c r="A368" i="2"/>
  <c r="I368" i="2"/>
  <c r="L367" i="2"/>
  <c r="J368" i="2" l="1"/>
  <c r="H368" i="2"/>
  <c r="M368" i="2" s="1"/>
  <c r="D368" i="2"/>
  <c r="B369" i="2" s="1"/>
  <c r="K368" i="2" l="1"/>
  <c r="I369" i="2" s="1"/>
  <c r="J369" i="2" s="1"/>
  <c r="C369" i="2"/>
  <c r="A369" i="2"/>
  <c r="E368" i="2"/>
  <c r="F368" i="2"/>
  <c r="L368" i="2" l="1"/>
  <c r="H369" i="2"/>
  <c r="M369" i="2" s="1"/>
  <c r="K369" i="2" s="1"/>
  <c r="D369" i="2"/>
  <c r="B370" i="2" s="1"/>
  <c r="F369" i="2" l="1"/>
  <c r="E369" i="2"/>
  <c r="C370" i="2"/>
  <c r="A370" i="2"/>
  <c r="L369" i="2"/>
  <c r="I370" i="2"/>
  <c r="J370" i="2" l="1"/>
  <c r="H370" i="2"/>
  <c r="M370" i="2" s="1"/>
  <c r="D370" i="2"/>
  <c r="B371" i="2" s="1"/>
  <c r="K370" i="2" l="1"/>
  <c r="I371" i="2" s="1"/>
  <c r="J371" i="2" s="1"/>
  <c r="F370" i="2"/>
  <c r="C16" i="3" s="1"/>
  <c r="E370" i="2"/>
  <c r="C371" i="2"/>
  <c r="A371" i="2"/>
  <c r="L370" i="2"/>
  <c r="E371" i="2" l="1"/>
  <c r="F371" i="2"/>
  <c r="D371" i="2"/>
  <c r="B372" i="2" s="1"/>
  <c r="H371" i="2"/>
  <c r="M371" i="2" s="1"/>
  <c r="K371" i="2" s="1"/>
  <c r="L371" i="2" l="1"/>
  <c r="I372" i="2"/>
  <c r="J372" i="2" s="1"/>
  <c r="C372" i="2"/>
  <c r="A372" i="2"/>
  <c r="F372" i="2" l="1"/>
  <c r="E372" i="2"/>
  <c r="H372" i="2"/>
  <c r="M372" i="2" s="1"/>
  <c r="K372" i="2" s="1"/>
  <c r="D372" i="2"/>
  <c r="B373" i="2" s="1"/>
  <c r="C373" i="2" l="1"/>
  <c r="A373" i="2"/>
  <c r="L372" i="2"/>
  <c r="I373" i="2"/>
  <c r="J373" i="2" s="1"/>
  <c r="E373" i="2" l="1"/>
  <c r="D373" i="2"/>
  <c r="B374" i="2" s="1"/>
  <c r="F373" i="2"/>
  <c r="H373" i="2"/>
  <c r="M373" i="2" s="1"/>
  <c r="K373" i="2" s="1"/>
  <c r="L373" i="2" l="1"/>
  <c r="I374" i="2"/>
  <c r="J374" i="2" s="1"/>
  <c r="A374" i="2"/>
  <c r="C374" i="2"/>
  <c r="E374" i="2" l="1"/>
  <c r="F374" i="2"/>
  <c r="H374" i="2"/>
  <c r="M374" i="2" s="1"/>
  <c r="K374" i="2" s="1"/>
  <c r="D374" i="2"/>
  <c r="B375" i="2" s="1"/>
  <c r="I375" i="2" l="1"/>
  <c r="J375" i="2" s="1"/>
  <c r="L374" i="2"/>
  <c r="C375" i="2"/>
  <c r="A375" i="2"/>
  <c r="E375" i="2" l="1"/>
  <c r="D375" i="2"/>
  <c r="B376" i="2" s="1"/>
  <c r="F375" i="2"/>
  <c r="H375" i="2"/>
  <c r="M375" i="2" s="1"/>
  <c r="K375" i="2" s="1"/>
  <c r="I376" i="2" l="1"/>
  <c r="J376" i="2" s="1"/>
  <c r="L375" i="2"/>
  <c r="C376" i="2"/>
  <c r="A376" i="2"/>
  <c r="E376" i="2" l="1"/>
  <c r="H376" i="2"/>
  <c r="M376" i="2" s="1"/>
  <c r="K376" i="2" s="1"/>
  <c r="D376" i="2"/>
  <c r="B377" i="2" s="1"/>
  <c r="F376" i="2"/>
  <c r="L376" i="2" l="1"/>
  <c r="I377" i="2"/>
  <c r="J377" i="2" s="1"/>
  <c r="C377" i="2"/>
  <c r="A377" i="2"/>
  <c r="E377" i="2" l="1"/>
  <c r="D377" i="2"/>
  <c r="B378" i="2" s="1"/>
  <c r="F377" i="2"/>
  <c r="H377" i="2"/>
  <c r="M377" i="2" s="1"/>
  <c r="K377" i="2" s="1"/>
  <c r="I378" i="2" l="1"/>
  <c r="J378" i="2" s="1"/>
  <c r="L377" i="2"/>
  <c r="C378" i="2"/>
  <c r="A378" i="2"/>
  <c r="F378" i="2" l="1"/>
  <c r="D378" i="2"/>
  <c r="B379" i="2" s="1"/>
  <c r="E378" i="2"/>
  <c r="H378" i="2"/>
  <c r="M378" i="2" s="1"/>
  <c r="K378" i="2" s="1"/>
  <c r="L378" i="2" l="1"/>
  <c r="I379" i="2"/>
  <c r="J379" i="2" s="1"/>
  <c r="C379" i="2"/>
  <c r="A379" i="2"/>
  <c r="D379" i="2" l="1"/>
  <c r="B380" i="2" s="1"/>
  <c r="H379" i="2"/>
  <c r="M379" i="2" s="1"/>
  <c r="K379" i="2" s="1"/>
  <c r="F379" i="2"/>
  <c r="E379" i="2"/>
  <c r="I380" i="2" l="1"/>
  <c r="J380" i="2" s="1"/>
  <c r="L379" i="2"/>
  <c r="A380" i="2"/>
  <c r="C380" i="2"/>
  <c r="H380" i="2" l="1"/>
  <c r="M380" i="2" s="1"/>
  <c r="K380" i="2" s="1"/>
  <c r="F380" i="2"/>
  <c r="E380" i="2"/>
  <c r="D380" i="2"/>
  <c r="B381" i="2" s="1"/>
  <c r="C381" i="2" l="1"/>
  <c r="A381" i="2"/>
  <c r="I381" i="2"/>
  <c r="J381" i="2" s="1"/>
  <c r="L380" i="2"/>
  <c r="D381" i="2" l="1"/>
  <c r="B382" i="2" s="1"/>
  <c r="F381" i="2"/>
  <c r="E381" i="2"/>
  <c r="H381" i="2"/>
  <c r="M381" i="2" s="1"/>
  <c r="K381" i="2" s="1"/>
  <c r="L381" i="2" l="1"/>
  <c r="I382" i="2"/>
  <c r="J382" i="2" s="1"/>
  <c r="C382" i="2"/>
  <c r="A382" i="2"/>
  <c r="E382" i="2" l="1"/>
  <c r="H382" i="2"/>
  <c r="M382" i="2" s="1"/>
  <c r="K382" i="2" s="1"/>
  <c r="D382" i="2"/>
  <c r="B383" i="2" s="1"/>
  <c r="F382" i="2"/>
  <c r="L382" i="2" l="1"/>
  <c r="I383" i="2"/>
  <c r="J383" i="2" s="1"/>
  <c r="A383" i="2"/>
  <c r="C383" i="2"/>
  <c r="D383" i="2" l="1"/>
  <c r="B384" i="2" s="1"/>
  <c r="H383" i="2"/>
  <c r="M383" i="2" s="1"/>
  <c r="K383" i="2" s="1"/>
  <c r="F383" i="2"/>
  <c r="E383" i="2"/>
  <c r="L383" i="2" l="1"/>
  <c r="I384" i="2"/>
  <c r="J384" i="2" s="1"/>
  <c r="A384" i="2"/>
  <c r="C384" i="2"/>
  <c r="D384" i="2" l="1"/>
  <c r="B385" i="2" s="1"/>
  <c r="F384" i="2"/>
  <c r="E384" i="2"/>
  <c r="H384" i="2"/>
  <c r="M384" i="2" s="1"/>
  <c r="K384" i="2" s="1"/>
  <c r="L384" i="2" l="1"/>
  <c r="I385" i="2"/>
  <c r="J385" i="2" s="1"/>
  <c r="C385" i="2"/>
  <c r="A385" i="2"/>
  <c r="D385" i="2" l="1"/>
  <c r="B386" i="2" s="1"/>
  <c r="E385" i="2"/>
  <c r="F385" i="2"/>
  <c r="H385" i="2"/>
  <c r="M385" i="2" s="1"/>
  <c r="K385" i="2" s="1"/>
  <c r="I386" i="2" l="1"/>
  <c r="J386" i="2" s="1"/>
  <c r="L385" i="2"/>
  <c r="A386" i="2"/>
  <c r="C386" i="2"/>
  <c r="H386" i="2" l="1"/>
  <c r="M386" i="2" s="1"/>
  <c r="K386" i="2" s="1"/>
  <c r="D386" i="2"/>
  <c r="B387" i="2" s="1"/>
  <c r="F386" i="2"/>
  <c r="E386" i="2"/>
  <c r="C387" i="2" l="1"/>
  <c r="A387" i="2"/>
  <c r="I387" i="2"/>
  <c r="J387" i="2" s="1"/>
  <c r="L386" i="2"/>
  <c r="E387" i="2" l="1"/>
  <c r="H387" i="2"/>
  <c r="M387" i="2" s="1"/>
  <c r="K387" i="2" s="1"/>
  <c r="F387" i="2"/>
  <c r="D387" i="2"/>
  <c r="B388" i="2" s="1"/>
  <c r="L387" i="2" l="1"/>
  <c r="I388" i="2"/>
  <c r="J388" i="2" s="1"/>
  <c r="C388" i="2"/>
  <c r="A388" i="2"/>
  <c r="F388" i="2" l="1"/>
  <c r="D388" i="2"/>
  <c r="B389" i="2" s="1"/>
  <c r="E388" i="2"/>
  <c r="H388" i="2"/>
  <c r="M388" i="2" s="1"/>
  <c r="K388" i="2" s="1"/>
  <c r="I389" i="2" l="1"/>
  <c r="J389" i="2" s="1"/>
  <c r="L388" i="2"/>
  <c r="C389" i="2"/>
  <c r="A389" i="2"/>
  <c r="H389" i="2" l="1"/>
  <c r="M389" i="2" s="1"/>
  <c r="K389" i="2" s="1"/>
  <c r="E389" i="2"/>
  <c r="D389" i="2"/>
  <c r="B390" i="2" s="1"/>
  <c r="F389" i="2"/>
  <c r="L389" i="2" l="1"/>
  <c r="I390" i="2"/>
  <c r="J390" i="2" s="1"/>
  <c r="A390" i="2"/>
  <c r="C390" i="2"/>
  <c r="F390" i="2" l="1"/>
  <c r="E390" i="2"/>
  <c r="H390" i="2"/>
  <c r="M390" i="2" s="1"/>
  <c r="K390" i="2" s="1"/>
  <c r="L390" i="2" s="1"/>
  <c r="D390" i="2"/>
  <c r="B391" i="2" s="1"/>
  <c r="A391" i="2" l="1"/>
  <c r="C391" i="2"/>
  <c r="I391" i="2"/>
  <c r="J391" i="2" s="1"/>
  <c r="F391" i="2" l="1"/>
  <c r="H391" i="2"/>
  <c r="M391" i="2" s="1"/>
  <c r="K391" i="2" s="1"/>
  <c r="E391" i="2"/>
  <c r="D391" i="2"/>
  <c r="B392" i="2" s="1"/>
  <c r="I392" i="2" l="1"/>
  <c r="J392" i="2" s="1"/>
  <c r="L391" i="2"/>
  <c r="C392" i="2"/>
  <c r="A392" i="2"/>
  <c r="H392" i="2" l="1"/>
  <c r="M392" i="2" s="1"/>
  <c r="K392" i="2" s="1"/>
  <c r="D392" i="2"/>
  <c r="B393" i="2" s="1"/>
  <c r="E392" i="2"/>
  <c r="F392" i="2"/>
  <c r="I393" i="2" l="1"/>
  <c r="J393" i="2" s="1"/>
  <c r="L392" i="2"/>
  <c r="A393" i="2"/>
  <c r="C393" i="2"/>
  <c r="H393" i="2" l="1"/>
  <c r="M393" i="2" s="1"/>
  <c r="K393" i="2" s="1"/>
  <c r="F393" i="2"/>
  <c r="E393" i="2"/>
  <c r="D393" i="2"/>
  <c r="B394" i="2" s="1"/>
  <c r="I394" i="2" l="1"/>
  <c r="J394" i="2" s="1"/>
  <c r="L393" i="2"/>
  <c r="C394" i="2"/>
  <c r="A394" i="2"/>
  <c r="F394" i="2" l="1"/>
  <c r="H394" i="2"/>
  <c r="M394" i="2" s="1"/>
  <c r="K394" i="2" s="1"/>
  <c r="I395" i="2" s="1"/>
  <c r="J395" i="2" s="1"/>
  <c r="E394" i="2"/>
  <c r="D394" i="2"/>
  <c r="B395" i="2" s="1"/>
  <c r="L394" i="2" l="1"/>
  <c r="A395" i="2"/>
  <c r="C395" i="2"/>
  <c r="D395" i="2" l="1"/>
  <c r="B396" i="2" s="1"/>
  <c r="F395" i="2"/>
  <c r="E395" i="2"/>
  <c r="H395" i="2"/>
  <c r="M395" i="2" s="1"/>
  <c r="K395" i="2" s="1"/>
  <c r="I396" i="2" l="1"/>
  <c r="J396" i="2" s="1"/>
  <c r="L395" i="2"/>
  <c r="C396" i="2"/>
  <c r="D16" i="3" s="1"/>
  <c r="A396" i="2"/>
  <c r="E396" i="2" l="1"/>
  <c r="H396" i="2"/>
  <c r="M396" i="2" s="1"/>
  <c r="K396" i="2" s="1"/>
  <c r="F396" i="2"/>
  <c r="D396" i="2"/>
  <c r="B397" i="2" s="1"/>
  <c r="I397" i="2" l="1"/>
  <c r="J397" i="2" s="1"/>
  <c r="L396" i="2"/>
  <c r="A397" i="2"/>
  <c r="C397" i="2"/>
  <c r="H397" i="2" l="1"/>
  <c r="M397" i="2" s="1"/>
  <c r="K397" i="2" s="1"/>
  <c r="E397" i="2"/>
  <c r="D397" i="2"/>
  <c r="B398" i="2" s="1"/>
  <c r="F397" i="2"/>
  <c r="L397" i="2" l="1"/>
  <c r="I398" i="2"/>
  <c r="J398" i="2" s="1"/>
  <c r="A398" i="2"/>
  <c r="C398" i="2"/>
  <c r="F398" i="2" l="1"/>
  <c r="H398" i="2"/>
  <c r="M398" i="2" s="1"/>
  <c r="K398" i="2" s="1"/>
  <c r="E398" i="2"/>
  <c r="D398" i="2"/>
  <c r="B399" i="2" s="1"/>
  <c r="A399" i="2" l="1"/>
  <c r="C399" i="2"/>
  <c r="L398" i="2"/>
  <c r="I399" i="2"/>
  <c r="J399" i="2" s="1"/>
  <c r="D399" i="2" l="1"/>
  <c r="B400" i="2" s="1"/>
  <c r="H399" i="2"/>
  <c r="M399" i="2" s="1"/>
  <c r="K399" i="2" s="1"/>
  <c r="F399" i="2"/>
  <c r="E399" i="2"/>
  <c r="I400" i="2" l="1"/>
  <c r="J400" i="2" s="1"/>
  <c r="L399" i="2"/>
  <c r="A400" i="2"/>
  <c r="C400" i="2"/>
  <c r="D400" i="2" l="1"/>
  <c r="B401" i="2" s="1"/>
  <c r="E400" i="2"/>
  <c r="H400" i="2"/>
  <c r="M400" i="2" s="1"/>
  <c r="K400" i="2" s="1"/>
  <c r="F400" i="2"/>
  <c r="L400" i="2" l="1"/>
  <c r="I401" i="2"/>
  <c r="J401" i="2" s="1"/>
  <c r="C401" i="2"/>
  <c r="A401" i="2"/>
  <c r="H401" i="2" l="1"/>
  <c r="M401" i="2" s="1"/>
  <c r="K401" i="2" s="1"/>
  <c r="L401" i="2" s="1"/>
  <c r="F401" i="2"/>
  <c r="E401" i="2"/>
  <c r="D401" i="2"/>
  <c r="B402" i="2" s="1"/>
  <c r="A402" i="2" l="1"/>
  <c r="C402" i="2"/>
  <c r="I402" i="2"/>
  <c r="J402" i="2" s="1"/>
  <c r="H402" i="2" l="1"/>
  <c r="M402" i="2" s="1"/>
  <c r="K402" i="2" s="1"/>
  <c r="F402" i="2"/>
  <c r="E402" i="2"/>
  <c r="D402" i="2"/>
  <c r="B403" i="2" s="1"/>
  <c r="L402" i="2" l="1"/>
  <c r="I403" i="2"/>
  <c r="J403" i="2" s="1"/>
  <c r="A403" i="2"/>
  <c r="C403" i="2"/>
  <c r="D403" i="2" l="1"/>
  <c r="B404" i="2" s="1"/>
  <c r="F403" i="2"/>
  <c r="E403" i="2"/>
  <c r="H403" i="2"/>
  <c r="M403" i="2" s="1"/>
  <c r="K403" i="2" s="1"/>
  <c r="I404" i="2" s="1"/>
  <c r="J404" i="2" s="1"/>
  <c r="L403" i="2" l="1"/>
  <c r="C404" i="2"/>
  <c r="A404" i="2"/>
  <c r="D404" i="2" l="1"/>
  <c r="B405" i="2" s="1"/>
  <c r="F404" i="2"/>
  <c r="H404" i="2"/>
  <c r="M404" i="2" s="1"/>
  <c r="K404" i="2" s="1"/>
  <c r="E404" i="2"/>
  <c r="I405" i="2" l="1"/>
  <c r="J405" i="2" s="1"/>
  <c r="L404" i="2"/>
  <c r="A405" i="2"/>
  <c r="C405" i="2"/>
  <c r="H405" i="2" l="1"/>
  <c r="M405" i="2" s="1"/>
  <c r="K405" i="2" s="1"/>
  <c r="L405" i="2" s="1"/>
  <c r="F405" i="2"/>
  <c r="E405" i="2"/>
  <c r="D405" i="2"/>
  <c r="B406" i="2" s="1"/>
  <c r="A406" i="2" l="1"/>
  <c r="C406" i="2"/>
  <c r="I406" i="2"/>
  <c r="J406" i="2" s="1"/>
  <c r="D406" i="2" l="1"/>
  <c r="B407" i="2" s="1"/>
  <c r="H406" i="2"/>
  <c r="M406" i="2" s="1"/>
  <c r="K406" i="2" s="1"/>
  <c r="E406" i="2"/>
  <c r="F406" i="2"/>
  <c r="L406" i="2" l="1"/>
  <c r="I407" i="2"/>
  <c r="J407" i="2" s="1"/>
  <c r="A407" i="2"/>
  <c r="C407" i="2"/>
  <c r="H407" i="2" l="1"/>
  <c r="M407" i="2" s="1"/>
  <c r="K407" i="2" s="1"/>
  <c r="D407" i="2"/>
  <c r="B408" i="2" s="1"/>
  <c r="F407" i="2"/>
  <c r="E407" i="2"/>
  <c r="L407" i="2" l="1"/>
  <c r="I408" i="2"/>
  <c r="J408" i="2" s="1"/>
  <c r="A408" i="2"/>
  <c r="C408" i="2"/>
  <c r="F408" i="2" l="1"/>
  <c r="D408" i="2"/>
  <c r="B409" i="2" s="1"/>
  <c r="H408" i="2"/>
  <c r="M408" i="2" s="1"/>
  <c r="K408" i="2" s="1"/>
  <c r="E408" i="2"/>
  <c r="I409" i="2" l="1"/>
  <c r="J409" i="2" s="1"/>
  <c r="L408" i="2"/>
  <c r="A409" i="2"/>
  <c r="C409" i="2"/>
  <c r="E409" i="2" l="1"/>
  <c r="D409" i="2"/>
  <c r="B410" i="2" s="1"/>
  <c r="F409" i="2"/>
  <c r="H409" i="2"/>
  <c r="M409" i="2" s="1"/>
  <c r="K409" i="2" s="1"/>
  <c r="I410" i="2" l="1"/>
  <c r="J410" i="2" s="1"/>
  <c r="L409" i="2"/>
  <c r="C410" i="2"/>
  <c r="A410" i="2"/>
  <c r="H410" i="2" l="1"/>
  <c r="M410" i="2" s="1"/>
  <c r="K410" i="2" s="1"/>
  <c r="F410" i="2"/>
  <c r="E410" i="2"/>
  <c r="D410" i="2"/>
  <c r="B411" i="2" s="1"/>
  <c r="L410" i="2" l="1"/>
  <c r="I411" i="2"/>
  <c r="J411" i="2" s="1"/>
  <c r="A411" i="2"/>
  <c r="C411" i="2"/>
  <c r="H411" i="2" l="1"/>
  <c r="M411" i="2" s="1"/>
  <c r="K411" i="2" s="1"/>
  <c r="E411" i="2"/>
  <c r="D411" i="2"/>
  <c r="B412" i="2" s="1"/>
  <c r="F411" i="2"/>
  <c r="I412" i="2" l="1"/>
  <c r="J412" i="2" s="1"/>
  <c r="L411" i="2"/>
  <c r="A412" i="2"/>
  <c r="C412" i="2"/>
  <c r="D412" i="2" l="1"/>
  <c r="B413" i="2" s="1"/>
  <c r="H412" i="2"/>
  <c r="M412" i="2" s="1"/>
  <c r="K412" i="2" s="1"/>
  <c r="I413" i="2" s="1"/>
  <c r="J413" i="2" s="1"/>
  <c r="F412" i="2"/>
  <c r="E412" i="2"/>
  <c r="A413" i="2" l="1"/>
  <c r="C413" i="2"/>
  <c r="L412" i="2"/>
  <c r="D413" i="2" l="1"/>
  <c r="B414" i="2" s="1"/>
  <c r="H413" i="2"/>
  <c r="M413" i="2" s="1"/>
  <c r="K413" i="2" s="1"/>
  <c r="E413" i="2"/>
  <c r="F413" i="2"/>
  <c r="I414" i="2" l="1"/>
  <c r="J414" i="2" s="1"/>
  <c r="L413" i="2"/>
  <c r="A414" i="2"/>
  <c r="C414" i="2"/>
  <c r="F414" i="2" l="1"/>
  <c r="H414" i="2"/>
  <c r="M414" i="2" s="1"/>
  <c r="K414" i="2" s="1"/>
  <c r="D414" i="2"/>
  <c r="B415" i="2" s="1"/>
  <c r="E414" i="2"/>
  <c r="L414" i="2" l="1"/>
  <c r="I415" i="2"/>
  <c r="J415" i="2" s="1"/>
  <c r="A415" i="2"/>
  <c r="C415" i="2"/>
  <c r="E415" i="2" l="1"/>
  <c r="H415" i="2"/>
  <c r="M415" i="2" s="1"/>
  <c r="K415" i="2" s="1"/>
  <c r="D415" i="2"/>
  <c r="B416" i="2" s="1"/>
  <c r="F415" i="2"/>
  <c r="L415" i="2" l="1"/>
  <c r="I416" i="2"/>
  <c r="J416" i="2" s="1"/>
  <c r="A416" i="2"/>
  <c r="C416" i="2"/>
  <c r="D416" i="2" l="1"/>
  <c r="B417" i="2" s="1"/>
  <c r="F416" i="2"/>
  <c r="E416" i="2"/>
  <c r="H416" i="2"/>
  <c r="M416" i="2" s="1"/>
  <c r="K416" i="2" s="1"/>
  <c r="L416" i="2" s="1"/>
  <c r="A417" i="2" l="1"/>
  <c r="C417" i="2"/>
  <c r="I417" i="2"/>
  <c r="J417" i="2" s="1"/>
  <c r="H417" i="2" l="1"/>
  <c r="M417" i="2" s="1"/>
  <c r="K417" i="2" s="1"/>
  <c r="D417" i="2"/>
  <c r="B418" i="2" s="1"/>
  <c r="E417" i="2"/>
  <c r="F417" i="2"/>
  <c r="I418" i="2" l="1"/>
  <c r="J418" i="2" s="1"/>
  <c r="L417" i="2"/>
  <c r="A418" i="2"/>
  <c r="C418" i="2"/>
  <c r="E418" i="2" l="1"/>
  <c r="D418" i="2"/>
  <c r="B419" i="2" s="1"/>
  <c r="H418" i="2"/>
  <c r="M418" i="2" s="1"/>
  <c r="K418" i="2" s="1"/>
  <c r="F418" i="2"/>
  <c r="L418" i="2" l="1"/>
  <c r="I419" i="2"/>
  <c r="J419" i="2" s="1"/>
  <c r="A419" i="2"/>
  <c r="C419" i="2"/>
  <c r="H419" i="2" l="1"/>
  <c r="M419" i="2" s="1"/>
  <c r="K419" i="2" s="1"/>
  <c r="F419" i="2"/>
  <c r="E419" i="2"/>
  <c r="D419" i="2"/>
  <c r="B420" i="2" s="1"/>
  <c r="L419" i="2" l="1"/>
  <c r="I420" i="2"/>
  <c r="J420" i="2" s="1"/>
  <c r="A420" i="2"/>
  <c r="C420" i="2"/>
  <c r="H420" i="2" l="1"/>
  <c r="M420" i="2" s="1"/>
  <c r="K420" i="2" s="1"/>
  <c r="I421" i="2" s="1"/>
  <c r="J421" i="2" s="1"/>
  <c r="D420" i="2"/>
  <c r="B421" i="2" s="1"/>
  <c r="F420" i="2"/>
  <c r="E420" i="2"/>
  <c r="A421" i="2" l="1"/>
  <c r="C421" i="2"/>
  <c r="L420" i="2"/>
  <c r="H421" i="2" l="1"/>
  <c r="M421" i="2" s="1"/>
  <c r="K421" i="2" s="1"/>
  <c r="D421" i="2"/>
  <c r="B422" i="2" s="1"/>
  <c r="F421" i="2"/>
  <c r="E421" i="2"/>
  <c r="C422" i="2" l="1"/>
  <c r="A422" i="2"/>
  <c r="I422" i="2"/>
  <c r="J422" i="2" s="1"/>
  <c r="L421" i="2"/>
  <c r="D422" i="2" l="1"/>
  <c r="B423" i="2" s="1"/>
  <c r="H422" i="2"/>
  <c r="M422" i="2" s="1"/>
  <c r="K422" i="2" s="1"/>
  <c r="E422" i="2"/>
  <c r="F422" i="2"/>
  <c r="L422" i="2" l="1"/>
  <c r="I423" i="2"/>
  <c r="J423" i="2" s="1"/>
  <c r="A423" i="2"/>
  <c r="C423" i="2"/>
  <c r="H423" i="2" l="1"/>
  <c r="M423" i="2" s="1"/>
  <c r="K423" i="2" s="1"/>
  <c r="F423" i="2"/>
  <c r="E423" i="2"/>
  <c r="D423" i="2"/>
  <c r="B424" i="2" s="1"/>
  <c r="A424" i="2" l="1"/>
  <c r="C424" i="2"/>
  <c r="I424" i="2"/>
  <c r="J424" i="2" s="1"/>
  <c r="L423" i="2"/>
  <c r="D424" i="2" l="1"/>
  <c r="B425" i="2" s="1"/>
  <c r="E424" i="2"/>
  <c r="F424" i="2"/>
  <c r="H424" i="2"/>
  <c r="M424" i="2" s="1"/>
  <c r="K424" i="2" s="1"/>
  <c r="L424" i="2" l="1"/>
  <c r="I425" i="2"/>
  <c r="J425" i="2" s="1"/>
  <c r="A425" i="2"/>
  <c r="C425" i="2"/>
  <c r="H425" i="2" l="1"/>
  <c r="M425" i="2" s="1"/>
  <c r="K425" i="2" s="1"/>
  <c r="I426" i="2" s="1"/>
  <c r="J426" i="2" s="1"/>
  <c r="E425" i="2"/>
  <c r="D425" i="2"/>
  <c r="B426" i="2" s="1"/>
  <c r="F425" i="2"/>
  <c r="L425" i="2" l="1"/>
  <c r="A426" i="2"/>
  <c r="C426" i="2"/>
  <c r="F426" i="2" l="1"/>
  <c r="E426" i="2"/>
  <c r="H426" i="2"/>
  <c r="M426" i="2" s="1"/>
  <c r="K426" i="2" s="1"/>
  <c r="D426" i="2"/>
  <c r="B427" i="2" s="1"/>
  <c r="A427" i="2" l="1"/>
  <c r="C427" i="2"/>
  <c r="I427" i="2"/>
  <c r="J427" i="2" s="1"/>
  <c r="L426" i="2"/>
  <c r="H427" i="2" l="1"/>
  <c r="M427" i="2" s="1"/>
  <c r="K427" i="2" s="1"/>
  <c r="F427" i="2"/>
  <c r="E427" i="2"/>
  <c r="D427" i="2"/>
  <c r="B428" i="2" s="1"/>
  <c r="I428" i="2" l="1"/>
  <c r="J428" i="2" s="1"/>
  <c r="L427" i="2"/>
  <c r="A428" i="2"/>
  <c r="C428" i="2"/>
  <c r="D428" i="2" l="1"/>
  <c r="B429" i="2" s="1"/>
  <c r="H428" i="2"/>
  <c r="M428" i="2" s="1"/>
  <c r="K428" i="2" s="1"/>
  <c r="F428" i="2"/>
  <c r="E428" i="2"/>
  <c r="I429" i="2" l="1"/>
  <c r="J429" i="2" s="1"/>
  <c r="L428" i="2"/>
  <c r="A429" i="2"/>
  <c r="C429" i="2"/>
  <c r="H429" i="2" l="1"/>
  <c r="M429" i="2" s="1"/>
  <c r="K429" i="2" s="1"/>
  <c r="E429" i="2"/>
  <c r="D429" i="2"/>
  <c r="B430" i="2" s="1"/>
  <c r="F429" i="2"/>
  <c r="L429" i="2" l="1"/>
  <c r="I430" i="2"/>
  <c r="J430" i="2" s="1"/>
  <c r="A430" i="2"/>
  <c r="C430" i="2"/>
  <c r="E430" i="2" l="1"/>
  <c r="D430" i="2"/>
  <c r="B431" i="2" s="1"/>
  <c r="F430" i="2"/>
  <c r="H430" i="2"/>
  <c r="M430" i="2" s="1"/>
  <c r="K430" i="2" s="1"/>
  <c r="I431" i="2" s="1"/>
  <c r="J431" i="2" s="1"/>
  <c r="A431" i="2" l="1"/>
  <c r="C431" i="2"/>
  <c r="L430" i="2"/>
  <c r="E431" i="2" l="1"/>
  <c r="D431" i="2"/>
  <c r="B432" i="2" s="1"/>
  <c r="F431" i="2"/>
  <c r="H431" i="2"/>
  <c r="M431" i="2" s="1"/>
  <c r="K431" i="2" s="1"/>
  <c r="C432" i="2" l="1"/>
  <c r="A432" i="2"/>
  <c r="I432" i="2"/>
  <c r="J432" i="2" s="1"/>
  <c r="L431" i="2"/>
  <c r="D432" i="2" l="1"/>
  <c r="B433" i="2" s="1"/>
  <c r="E432" i="2"/>
  <c r="F432" i="2"/>
  <c r="H432" i="2"/>
  <c r="M432" i="2" s="1"/>
  <c r="K432" i="2" s="1"/>
  <c r="I433" i="2" l="1"/>
  <c r="J433" i="2" s="1"/>
  <c r="L432" i="2"/>
  <c r="A433" i="2"/>
  <c r="C433" i="2"/>
  <c r="H433" i="2" l="1"/>
  <c r="M433" i="2" s="1"/>
  <c r="K433" i="2" s="1"/>
  <c r="I434" i="2" s="1"/>
  <c r="J434" i="2" s="1"/>
  <c r="F433" i="2"/>
  <c r="E433" i="2"/>
  <c r="D433" i="2"/>
  <c r="B434" i="2" s="1"/>
  <c r="L433" i="2" l="1"/>
  <c r="A434" i="2"/>
  <c r="C434" i="2"/>
  <c r="H434" i="2" l="1"/>
  <c r="M434" i="2" s="1"/>
  <c r="K434" i="2" s="1"/>
  <c r="F434" i="2"/>
  <c r="E434" i="2"/>
  <c r="D434" i="2"/>
  <c r="B435" i="2" s="1"/>
  <c r="A435" i="2" l="1"/>
  <c r="C435" i="2"/>
  <c r="I435" i="2"/>
  <c r="J435" i="2" s="1"/>
  <c r="L434" i="2"/>
  <c r="D435" i="2" l="1"/>
  <c r="B436" i="2" s="1"/>
  <c r="E435" i="2"/>
  <c r="H435" i="2"/>
  <c r="M435" i="2" s="1"/>
  <c r="K435" i="2" s="1"/>
  <c r="F435" i="2"/>
  <c r="I436" i="2" l="1"/>
  <c r="J436" i="2" s="1"/>
  <c r="L435" i="2"/>
  <c r="A436" i="2"/>
  <c r="C436" i="2"/>
  <c r="D436" i="2" l="1"/>
  <c r="B437" i="2" s="1"/>
  <c r="H436" i="2"/>
  <c r="M436" i="2" s="1"/>
  <c r="K436" i="2" s="1"/>
  <c r="F436" i="2"/>
  <c r="E436" i="2"/>
  <c r="L436" i="2" l="1"/>
  <c r="I437" i="2"/>
  <c r="J437" i="2" s="1"/>
  <c r="C437" i="2"/>
  <c r="A437" i="2"/>
  <c r="H437" i="2" l="1"/>
  <c r="M437" i="2" s="1"/>
  <c r="K437" i="2" s="1"/>
  <c r="L437" i="2" s="1"/>
  <c r="F437" i="2"/>
  <c r="E437" i="2"/>
  <c r="D437" i="2"/>
  <c r="B438" i="2" s="1"/>
  <c r="A438" i="2" l="1"/>
  <c r="C438" i="2"/>
  <c r="I438" i="2"/>
  <c r="J438" i="2" s="1"/>
  <c r="E438" i="2" l="1"/>
  <c r="D438" i="2"/>
  <c r="B439" i="2" s="1"/>
  <c r="F438" i="2"/>
  <c r="H438" i="2"/>
  <c r="M438" i="2" s="1"/>
  <c r="K438" i="2" s="1"/>
  <c r="I439" i="2" l="1"/>
  <c r="J439" i="2" s="1"/>
  <c r="L438" i="2"/>
  <c r="A439" i="2"/>
  <c r="C439" i="2"/>
  <c r="H439" i="2" l="1"/>
  <c r="M439" i="2" s="1"/>
  <c r="K439" i="2" s="1"/>
  <c r="L439" i="2" s="1"/>
  <c r="F439" i="2"/>
  <c r="D439" i="2"/>
  <c r="B440" i="2" s="1"/>
  <c r="E439" i="2"/>
  <c r="A440" i="2" l="1"/>
  <c r="C440" i="2"/>
  <c r="I440" i="2"/>
  <c r="J440" i="2" s="1"/>
  <c r="D440" i="2" l="1"/>
  <c r="B441" i="2" s="1"/>
  <c r="H440" i="2"/>
  <c r="M440" i="2" s="1"/>
  <c r="K440" i="2" s="1"/>
  <c r="F440" i="2"/>
  <c r="E440" i="2"/>
  <c r="L440" i="2" l="1"/>
  <c r="I441" i="2"/>
  <c r="J441" i="2" s="1"/>
  <c r="A441" i="2"/>
  <c r="C441" i="2"/>
  <c r="H441" i="2" l="1"/>
  <c r="M441" i="2" s="1"/>
  <c r="K441" i="2" s="1"/>
  <c r="F441" i="2"/>
  <c r="E441" i="2"/>
  <c r="D441" i="2"/>
  <c r="B442" i="2" s="1"/>
  <c r="I442" i="2" l="1"/>
  <c r="J442" i="2" s="1"/>
  <c r="L441" i="2"/>
  <c r="A442" i="2"/>
  <c r="C442" i="2"/>
  <c r="F442" i="2" l="1"/>
  <c r="E442" i="2"/>
  <c r="H442" i="2"/>
  <c r="M442" i="2" s="1"/>
  <c r="K442" i="2" s="1"/>
  <c r="L442" i="2" s="1"/>
  <c r="D442" i="2"/>
  <c r="B443" i="2" s="1"/>
  <c r="A443" i="2" l="1"/>
  <c r="C443" i="2"/>
  <c r="I443" i="2"/>
  <c r="J443" i="2" s="1"/>
  <c r="D443" i="2" l="1"/>
  <c r="B444" i="2" s="1"/>
  <c r="F443" i="2"/>
  <c r="E443" i="2"/>
  <c r="H443" i="2"/>
  <c r="M443" i="2" s="1"/>
  <c r="K443" i="2" s="1"/>
  <c r="I444" i="2" l="1"/>
  <c r="J444" i="2" s="1"/>
  <c r="L443" i="2"/>
  <c r="A444" i="2"/>
  <c r="C444" i="2"/>
  <c r="E444" i="2" l="1"/>
  <c r="H444" i="2"/>
  <c r="M444" i="2" s="1"/>
  <c r="K444" i="2" s="1"/>
  <c r="F444" i="2"/>
  <c r="D444" i="2"/>
  <c r="B445" i="2" s="1"/>
  <c r="I445" i="2" l="1"/>
  <c r="J445" i="2" s="1"/>
  <c r="L444" i="2"/>
  <c r="C445" i="2"/>
  <c r="A445" i="2"/>
  <c r="H445" i="2" l="1"/>
  <c r="M445" i="2" s="1"/>
  <c r="K445" i="2" s="1"/>
  <c r="F445" i="2"/>
  <c r="E445" i="2"/>
  <c r="D445" i="2"/>
  <c r="B446" i="2" s="1"/>
  <c r="C446" i="2" l="1"/>
  <c r="A446" i="2"/>
  <c r="L445" i="2"/>
  <c r="I446" i="2"/>
  <c r="J446" i="2" s="1"/>
  <c r="D446" i="2" l="1"/>
  <c r="B447" i="2" s="1"/>
  <c r="H446" i="2"/>
  <c r="M446" i="2" s="1"/>
  <c r="K446" i="2" s="1"/>
  <c r="F446" i="2"/>
  <c r="E446" i="2"/>
  <c r="L446" i="2" l="1"/>
  <c r="I447" i="2"/>
  <c r="J447" i="2" s="1"/>
  <c r="C447" i="2"/>
  <c r="A447" i="2"/>
  <c r="E447" i="2" l="1"/>
  <c r="D447" i="2"/>
  <c r="B448" i="2" s="1"/>
  <c r="F447" i="2"/>
  <c r="H447" i="2"/>
  <c r="M447" i="2" s="1"/>
  <c r="K447" i="2" s="1"/>
  <c r="L447" i="2" l="1"/>
  <c r="I448" i="2"/>
  <c r="J448" i="2" s="1"/>
  <c r="A448" i="2"/>
  <c r="C448" i="2"/>
  <c r="F448" i="2" l="1"/>
  <c r="E448" i="2"/>
  <c r="D448" i="2"/>
  <c r="B449" i="2" s="1"/>
  <c r="H448" i="2"/>
  <c r="M448" i="2" s="1"/>
  <c r="K448" i="2" s="1"/>
  <c r="I449" i="2" l="1"/>
  <c r="J449" i="2" s="1"/>
  <c r="L448" i="2"/>
  <c r="A449" i="2"/>
  <c r="C449" i="2"/>
  <c r="H449" i="2" l="1"/>
  <c r="M449" i="2" s="1"/>
  <c r="K449" i="2" s="1"/>
  <c r="L449" i="2" s="1"/>
  <c r="F449" i="2"/>
  <c r="D449" i="2"/>
  <c r="B450" i="2" s="1"/>
  <c r="E449" i="2"/>
  <c r="A450" i="2" l="1"/>
  <c r="C450" i="2"/>
  <c r="I450" i="2"/>
  <c r="J450" i="2" s="1"/>
  <c r="H450" i="2" l="1"/>
  <c r="M450" i="2" s="1"/>
  <c r="K450" i="2" s="1"/>
  <c r="E450" i="2"/>
  <c r="D450" i="2"/>
  <c r="B451" i="2" s="1"/>
  <c r="F450" i="2"/>
  <c r="I451" i="2" l="1"/>
  <c r="J451" i="2" s="1"/>
  <c r="L450" i="2"/>
  <c r="C451" i="2"/>
  <c r="A451" i="2"/>
  <c r="D451" i="2" l="1"/>
  <c r="B452" i="2" s="1"/>
  <c r="H451" i="2"/>
  <c r="M451" i="2" s="1"/>
  <c r="K451" i="2" s="1"/>
  <c r="F451" i="2"/>
  <c r="E451" i="2"/>
  <c r="L451" i="2" l="1"/>
  <c r="I452" i="2"/>
  <c r="J452" i="2" s="1"/>
  <c r="A452" i="2"/>
  <c r="C452" i="2"/>
  <c r="E452" i="2" l="1"/>
  <c r="H452" i="2"/>
  <c r="M452" i="2" s="1"/>
  <c r="K452" i="2" s="1"/>
  <c r="D452" i="2"/>
  <c r="B453" i="2" s="1"/>
  <c r="F452" i="2"/>
  <c r="I453" i="2" l="1"/>
  <c r="J453" i="2" s="1"/>
  <c r="L452" i="2"/>
  <c r="C453" i="2"/>
  <c r="A453" i="2"/>
  <c r="F453" i="2" l="1"/>
  <c r="H453" i="2"/>
  <c r="M453" i="2" s="1"/>
  <c r="K453" i="2" s="1"/>
  <c r="E453" i="2"/>
  <c r="D453" i="2"/>
  <c r="B454" i="2" s="1"/>
  <c r="I454" i="2" l="1"/>
  <c r="J454" i="2" s="1"/>
  <c r="L453" i="2"/>
  <c r="C454" i="2"/>
  <c r="A454" i="2"/>
  <c r="H454" i="2" l="1"/>
  <c r="M454" i="2" s="1"/>
  <c r="K454" i="2" s="1"/>
  <c r="F454" i="2"/>
  <c r="E454" i="2"/>
  <c r="D454" i="2"/>
  <c r="B455" i="2" s="1"/>
  <c r="L454" i="2" l="1"/>
  <c r="I455" i="2"/>
  <c r="J455" i="2" s="1"/>
  <c r="L16" i="3" s="1"/>
  <c r="A455" i="2"/>
  <c r="C455" i="2"/>
  <c r="C50" i="1" l="1"/>
  <c r="E35" i="1"/>
  <c r="H455" i="2"/>
  <c r="M455" i="2" s="1"/>
  <c r="K455" i="2" s="1"/>
  <c r="F455" i="2"/>
  <c r="D455" i="2"/>
  <c r="B456" i="2" s="1"/>
  <c r="E455" i="2"/>
  <c r="E37" i="1" l="1"/>
  <c r="F35" i="1"/>
  <c r="D50" i="1"/>
  <c r="E50" i="1" s="1"/>
  <c r="E52" i="1" s="1"/>
  <c r="C52" i="1"/>
  <c r="G50" i="1"/>
  <c r="L455" i="2"/>
  <c r="I456" i="2"/>
  <c r="J456" i="2" s="1"/>
  <c r="C456" i="2"/>
  <c r="A456" i="2"/>
  <c r="D52" i="1" l="1"/>
  <c r="L17" i="1"/>
  <c r="L16" i="1"/>
  <c r="F37" i="1"/>
  <c r="H50" i="1"/>
  <c r="I50" i="1" s="1"/>
  <c r="G52" i="1"/>
  <c r="F456" i="2"/>
  <c r="E456" i="2"/>
  <c r="D456" i="2"/>
  <c r="B457" i="2" s="1"/>
  <c r="H456" i="2"/>
  <c r="M456" i="2" s="1"/>
  <c r="K456" i="2" s="1"/>
  <c r="H52" i="1" l="1"/>
  <c r="I52" i="1" s="1"/>
  <c r="L18" i="1"/>
  <c r="I457" i="2"/>
  <c r="J457" i="2" s="1"/>
  <c r="L456" i="2"/>
  <c r="C457" i="2"/>
  <c r="A457" i="2"/>
  <c r="H457" i="2" l="1"/>
  <c r="M457" i="2" s="1"/>
  <c r="K457" i="2" s="1"/>
  <c r="F457" i="2"/>
  <c r="E457" i="2"/>
  <c r="D457" i="2"/>
  <c r="B458" i="2" s="1"/>
  <c r="I458" i="2" l="1"/>
  <c r="J458" i="2" s="1"/>
  <c r="L457" i="2"/>
  <c r="C458" i="2"/>
  <c r="A458" i="2"/>
  <c r="D458" i="2" l="1"/>
  <c r="B459" i="2" s="1"/>
  <c r="E458" i="2"/>
  <c r="F458" i="2"/>
  <c r="H458" i="2"/>
  <c r="M458" i="2" s="1"/>
  <c r="K458" i="2" l="1"/>
  <c r="I459" i="2" s="1"/>
  <c r="J459" i="2" s="1"/>
  <c r="K16" i="3"/>
  <c r="C35" i="1" s="1"/>
  <c r="C459" i="2"/>
  <c r="A459" i="2"/>
  <c r="L458" i="2" l="1"/>
  <c r="H35" i="1"/>
  <c r="H37" i="1" s="1"/>
  <c r="C37" i="1"/>
  <c r="D459" i="2"/>
  <c r="B460" i="2" s="1"/>
  <c r="E459" i="2"/>
  <c r="H459" i="2"/>
  <c r="M459" i="2" s="1"/>
  <c r="K459" i="2" s="1"/>
  <c r="L459" i="2" s="1"/>
  <c r="F459" i="2"/>
  <c r="I460" i="2" l="1"/>
  <c r="J460" i="2" s="1"/>
  <c r="A460" i="2"/>
  <c r="C460" i="2"/>
  <c r="E460" i="2" l="1"/>
  <c r="H460" i="2"/>
  <c r="M460" i="2" s="1"/>
  <c r="K460" i="2" s="1"/>
  <c r="F460" i="2"/>
  <c r="D460" i="2"/>
  <c r="B461" i="2" s="1"/>
  <c r="L460" i="2" l="1"/>
  <c r="I461" i="2"/>
  <c r="J461" i="2" s="1"/>
  <c r="C461" i="2"/>
  <c r="A461" i="2"/>
  <c r="E461" i="2" l="1"/>
  <c r="F461" i="2"/>
  <c r="D461" i="2"/>
  <c r="B462" i="2" s="1"/>
  <c r="H461" i="2"/>
  <c r="M461" i="2" s="1"/>
  <c r="K461" i="2" s="1"/>
  <c r="L461" i="2" l="1"/>
  <c r="I462" i="2"/>
  <c r="J462" i="2" s="1"/>
  <c r="C462" i="2"/>
  <c r="A462" i="2"/>
  <c r="H462" i="2" l="1"/>
  <c r="M462" i="2" s="1"/>
  <c r="K462" i="2" s="1"/>
  <c r="F462" i="2"/>
  <c r="E462" i="2"/>
  <c r="D462" i="2"/>
  <c r="B463" i="2" s="1"/>
  <c r="L462" i="2" l="1"/>
  <c r="I463" i="2"/>
  <c r="J463" i="2" s="1"/>
  <c r="A463" i="2"/>
  <c r="C463" i="2"/>
  <c r="H463" i="2" l="1"/>
  <c r="M463" i="2" s="1"/>
  <c r="K463" i="2" s="1"/>
  <c r="D463" i="2"/>
  <c r="B464" i="2" s="1"/>
  <c r="E463" i="2"/>
  <c r="F463" i="2"/>
  <c r="A464" i="2" l="1"/>
  <c r="C464" i="2"/>
  <c r="I464" i="2"/>
  <c r="J464" i="2" s="1"/>
  <c r="L463" i="2"/>
  <c r="E464" i="2" l="1"/>
  <c r="H464" i="2"/>
  <c r="M464" i="2" s="1"/>
  <c r="K464" i="2" s="1"/>
  <c r="F464" i="2"/>
  <c r="D464" i="2"/>
  <c r="B465" i="2" s="1"/>
  <c r="I465" i="2" l="1"/>
  <c r="J465" i="2" s="1"/>
  <c r="L464" i="2"/>
  <c r="A465" i="2"/>
  <c r="C465" i="2"/>
  <c r="F465" i="2" l="1"/>
  <c r="H465" i="2"/>
  <c r="M465" i="2" s="1"/>
  <c r="K465" i="2" s="1"/>
  <c r="E465" i="2"/>
  <c r="D465" i="2"/>
  <c r="B466" i="2" s="1"/>
  <c r="I466" i="2" l="1"/>
  <c r="J466" i="2" s="1"/>
  <c r="L465" i="2"/>
  <c r="A466" i="2"/>
  <c r="C466" i="2"/>
  <c r="D466" i="2" l="1"/>
  <c r="B467" i="2" s="1"/>
  <c r="F466" i="2"/>
  <c r="E466" i="2"/>
  <c r="H466" i="2"/>
  <c r="M466" i="2" s="1"/>
  <c r="K466" i="2" s="1"/>
  <c r="I467" i="2" l="1"/>
  <c r="J467" i="2" s="1"/>
  <c r="L466" i="2"/>
  <c r="C467" i="2"/>
  <c r="A467" i="2"/>
  <c r="H467" i="2" l="1"/>
  <c r="M467" i="2" s="1"/>
  <c r="K467" i="2" s="1"/>
  <c r="E467" i="2"/>
  <c r="F467" i="2"/>
  <c r="D467" i="2"/>
  <c r="B468" i="2" s="1"/>
  <c r="I468" i="2" l="1"/>
  <c r="J468" i="2" s="1"/>
  <c r="L467" i="2"/>
  <c r="A468" i="2"/>
  <c r="C468" i="2"/>
  <c r="D468" i="2" l="1"/>
  <c r="B469" i="2" s="1"/>
  <c r="E468" i="2"/>
  <c r="F468" i="2"/>
  <c r="H468" i="2"/>
  <c r="M468" i="2" s="1"/>
  <c r="K468" i="2" s="1"/>
  <c r="L468" i="2" s="1"/>
  <c r="C469" i="2" l="1"/>
  <c r="A469" i="2"/>
  <c r="I469" i="2"/>
  <c r="J469" i="2" s="1"/>
  <c r="F469" i="2" l="1"/>
  <c r="E469" i="2"/>
  <c r="H469" i="2"/>
  <c r="M469" i="2" s="1"/>
  <c r="K469" i="2" s="1"/>
  <c r="D469" i="2"/>
  <c r="B470" i="2" s="1"/>
  <c r="L469" i="2" l="1"/>
  <c r="I470" i="2"/>
  <c r="J470" i="2" s="1"/>
  <c r="C470" i="2"/>
  <c r="A470" i="2"/>
  <c r="D470" i="2" l="1"/>
  <c r="B471" i="2" s="1"/>
  <c r="H470" i="2"/>
  <c r="M470" i="2" s="1"/>
  <c r="K470" i="2" s="1"/>
  <c r="I471" i="2" s="1"/>
  <c r="J471" i="2" s="1"/>
  <c r="E470" i="2"/>
  <c r="F470" i="2"/>
  <c r="C471" i="2" l="1"/>
  <c r="A471" i="2"/>
  <c r="L470" i="2"/>
  <c r="E471" i="2" l="1"/>
  <c r="D471" i="2"/>
  <c r="B472" i="2" s="1"/>
  <c r="F471" i="2"/>
  <c r="H471" i="2"/>
  <c r="M471" i="2" s="1"/>
  <c r="K471" i="2" s="1"/>
  <c r="L471" i="2" l="1"/>
  <c r="I472" i="2"/>
  <c r="J472" i="2" s="1"/>
  <c r="A472" i="2"/>
  <c r="C472" i="2"/>
  <c r="F472" i="2" l="1"/>
  <c r="E472" i="2"/>
  <c r="H472" i="2"/>
  <c r="M472" i="2" s="1"/>
  <c r="K472" i="2" s="1"/>
  <c r="I473" i="2" s="1"/>
  <c r="J473" i="2" s="1"/>
  <c r="D472" i="2"/>
  <c r="B473" i="2" s="1"/>
  <c r="C473" i="2" l="1"/>
  <c r="A473" i="2"/>
  <c r="L472" i="2"/>
  <c r="H473" i="2" l="1"/>
  <c r="M473" i="2" s="1"/>
  <c r="K473" i="2" s="1"/>
  <c r="F473" i="2"/>
  <c r="E473" i="2"/>
  <c r="D473" i="2"/>
  <c r="B474" i="2" s="1"/>
  <c r="C474" i="2" l="1"/>
  <c r="A474" i="2"/>
  <c r="I474" i="2"/>
  <c r="J474" i="2" s="1"/>
  <c r="L473" i="2"/>
  <c r="H474" i="2" l="1"/>
  <c r="M474" i="2" s="1"/>
  <c r="K474" i="2" s="1"/>
  <c r="F474" i="2"/>
  <c r="D474" i="2"/>
  <c r="B475" i="2" s="1"/>
  <c r="E474" i="2"/>
  <c r="L474" i="2" l="1"/>
  <c r="I475" i="2"/>
  <c r="J475" i="2" s="1"/>
  <c r="C475" i="2"/>
  <c r="A475" i="2"/>
  <c r="D475" i="2" l="1"/>
  <c r="B476" i="2" s="1"/>
  <c r="H475" i="2"/>
  <c r="M475" i="2" s="1"/>
  <c r="K475" i="2" s="1"/>
  <c r="I476" i="2" s="1"/>
  <c r="J476" i="2" s="1"/>
  <c r="F475" i="2"/>
  <c r="E475" i="2"/>
  <c r="A476" i="2" l="1"/>
  <c r="C476" i="2"/>
  <c r="L475" i="2"/>
  <c r="E476" i="2" l="1"/>
  <c r="D476" i="2"/>
  <c r="B477" i="2" s="1"/>
  <c r="H476" i="2"/>
  <c r="M476" i="2" s="1"/>
  <c r="K476" i="2" s="1"/>
  <c r="F476" i="2"/>
  <c r="A477" i="2" l="1"/>
  <c r="C477" i="2"/>
  <c r="I477" i="2"/>
  <c r="J477" i="2" s="1"/>
  <c r="L476" i="2"/>
  <c r="F477" i="2" l="1"/>
  <c r="D477" i="2"/>
  <c r="B478" i="2" s="1"/>
  <c r="E477" i="2"/>
  <c r="H477" i="2"/>
  <c r="M477" i="2" s="1"/>
  <c r="K477" i="2" s="1"/>
  <c r="L477" i="2" l="1"/>
  <c r="I478" i="2"/>
  <c r="J478" i="2" s="1"/>
  <c r="A478" i="2"/>
  <c r="C478" i="2"/>
  <c r="H478" i="2" l="1"/>
  <c r="M478" i="2" s="1"/>
  <c r="K478" i="2" s="1"/>
  <c r="E478" i="2"/>
  <c r="F478" i="2"/>
  <c r="D478" i="2"/>
  <c r="B479" i="2" s="1"/>
  <c r="A479" i="2" l="1"/>
  <c r="C479" i="2"/>
  <c r="L478" i="2"/>
  <c r="I479" i="2"/>
  <c r="J479" i="2" s="1"/>
  <c r="D479" i="2" l="1"/>
  <c r="B480" i="2" s="1"/>
  <c r="H479" i="2"/>
  <c r="M479" i="2" s="1"/>
  <c r="K479" i="2" s="1"/>
  <c r="F479" i="2"/>
  <c r="E479" i="2"/>
  <c r="I480" i="2" l="1"/>
  <c r="J480" i="2" s="1"/>
  <c r="L479" i="2"/>
  <c r="A480" i="2"/>
  <c r="C480" i="2"/>
  <c r="F480" i="2" l="1"/>
  <c r="E480" i="2"/>
  <c r="H480" i="2"/>
  <c r="M480" i="2" s="1"/>
  <c r="K480" i="2" s="1"/>
  <c r="D480" i="2"/>
  <c r="B481" i="2" s="1"/>
  <c r="I481" i="2" l="1"/>
  <c r="J481" i="2" s="1"/>
  <c r="L480" i="2"/>
  <c r="C481" i="2"/>
  <c r="A481" i="2"/>
  <c r="H481" i="2" l="1"/>
  <c r="M481" i="2" s="1"/>
  <c r="K481" i="2" s="1"/>
  <c r="L481" i="2" s="1"/>
  <c r="F481" i="2"/>
  <c r="D481" i="2"/>
  <c r="B482" i="2" s="1"/>
  <c r="E481" i="2"/>
  <c r="C482" i="2" l="1"/>
  <c r="A482" i="2"/>
  <c r="I482" i="2"/>
  <c r="J482" i="2" s="1"/>
  <c r="D482" i="2" l="1"/>
  <c r="B483" i="2" s="1"/>
  <c r="E482" i="2"/>
  <c r="H482" i="2"/>
  <c r="M482" i="2" s="1"/>
  <c r="K482" i="2" s="1"/>
  <c r="F482" i="2"/>
  <c r="L482" i="2" l="1"/>
  <c r="I483" i="2"/>
  <c r="J483" i="2" s="1"/>
  <c r="A483" i="2"/>
  <c r="C483" i="2"/>
  <c r="E483" i="2" l="1"/>
  <c r="D483" i="2"/>
  <c r="B484" i="2" s="1"/>
  <c r="H483" i="2"/>
  <c r="M483" i="2" s="1"/>
  <c r="K483" i="2" s="1"/>
  <c r="F483" i="2"/>
  <c r="I484" i="2" l="1"/>
  <c r="J484" i="2" s="1"/>
  <c r="L483" i="2"/>
  <c r="A484" i="2"/>
  <c r="C484" i="2"/>
  <c r="D484" i="2" l="1"/>
  <c r="B485" i="2" s="1"/>
  <c r="F484" i="2"/>
  <c r="E484" i="2"/>
  <c r="H484" i="2"/>
  <c r="M484" i="2" s="1"/>
  <c r="K484" i="2" s="1"/>
  <c r="I485" i="2" l="1"/>
  <c r="J485" i="2" s="1"/>
  <c r="L484" i="2"/>
  <c r="A485" i="2"/>
  <c r="C485" i="2"/>
  <c r="H485" i="2" l="1"/>
  <c r="M485" i="2" s="1"/>
  <c r="K485" i="2" s="1"/>
  <c r="F485" i="2"/>
  <c r="D485" i="2"/>
  <c r="B486" i="2" s="1"/>
  <c r="E485" i="2"/>
  <c r="I486" i="2" l="1"/>
  <c r="J486" i="2" s="1"/>
  <c r="L485" i="2"/>
  <c r="C486" i="2"/>
  <c r="A486" i="2"/>
  <c r="H486" i="2" l="1"/>
  <c r="M486" i="2" s="1"/>
  <c r="K486" i="2" s="1"/>
  <c r="F486" i="2"/>
  <c r="E486" i="2"/>
  <c r="D486" i="2"/>
  <c r="B487" i="2" s="1"/>
  <c r="L486" i="2" l="1"/>
  <c r="I487" i="2"/>
  <c r="J487" i="2" s="1"/>
  <c r="C487" i="2"/>
  <c r="A487" i="2"/>
  <c r="D487" i="2" l="1"/>
  <c r="B488" i="2" s="1"/>
  <c r="E487" i="2"/>
  <c r="F487" i="2"/>
  <c r="H487" i="2"/>
  <c r="M487" i="2" s="1"/>
  <c r="K487" i="2" s="1"/>
  <c r="L487" i="2" l="1"/>
  <c r="I488" i="2"/>
  <c r="J488" i="2" s="1"/>
  <c r="A488" i="2"/>
  <c r="C488" i="2"/>
  <c r="E488" i="2" l="1"/>
  <c r="F488" i="2"/>
  <c r="D488" i="2"/>
  <c r="B489" i="2" s="1"/>
  <c r="H488" i="2"/>
  <c r="M488" i="2" s="1"/>
  <c r="K488" i="2" s="1"/>
  <c r="I489" i="2" l="1"/>
  <c r="J489" i="2" s="1"/>
  <c r="L488" i="2"/>
  <c r="C489" i="2"/>
  <c r="A489" i="2"/>
  <c r="F489" i="2" l="1"/>
  <c r="H489" i="2"/>
  <c r="M489" i="2" s="1"/>
  <c r="K489" i="2" s="1"/>
  <c r="I490" i="2" s="1"/>
  <c r="J490" i="2" s="1"/>
  <c r="D489" i="2"/>
  <c r="B490" i="2" s="1"/>
  <c r="E489" i="2"/>
  <c r="A490" i="2" l="1"/>
  <c r="C490" i="2"/>
  <c r="L489" i="2"/>
  <c r="D490" i="2" l="1"/>
  <c r="B491" i="2" s="1"/>
  <c r="H490" i="2"/>
  <c r="M490" i="2" s="1"/>
  <c r="K490" i="2" s="1"/>
  <c r="F490" i="2"/>
  <c r="E490" i="2"/>
  <c r="I491" i="2" l="1"/>
  <c r="J491" i="2" s="1"/>
  <c r="L490" i="2"/>
  <c r="C491" i="2"/>
  <c r="A491" i="2"/>
  <c r="D491" i="2" l="1"/>
  <c r="B492" i="2" s="1"/>
  <c r="F491" i="2"/>
  <c r="E491" i="2"/>
  <c r="H491" i="2"/>
  <c r="M491" i="2" s="1"/>
  <c r="K491" i="2" s="1"/>
  <c r="I492" i="2" l="1"/>
  <c r="J492" i="2" s="1"/>
  <c r="L491" i="2"/>
  <c r="A492" i="2"/>
  <c r="C492" i="2"/>
  <c r="F492" i="2" l="1"/>
  <c r="E492" i="2"/>
  <c r="H492" i="2"/>
  <c r="M492" i="2" s="1"/>
  <c r="K492" i="2" s="1"/>
  <c r="I493" i="2" s="1"/>
  <c r="J493" i="2" s="1"/>
  <c r="D492" i="2"/>
  <c r="B493" i="2" s="1"/>
  <c r="L492" i="2" l="1"/>
  <c r="A493" i="2"/>
  <c r="C493" i="2"/>
  <c r="H493" i="2" l="1"/>
  <c r="M493" i="2" s="1"/>
  <c r="K493" i="2" s="1"/>
  <c r="F493" i="2"/>
  <c r="E493" i="2"/>
  <c r="D493" i="2"/>
  <c r="B494" i="2" s="1"/>
  <c r="A494" i="2" l="1"/>
  <c r="C494" i="2"/>
  <c r="I494" i="2"/>
  <c r="J494" i="2" s="1"/>
  <c r="L493" i="2"/>
  <c r="D494" i="2" l="1"/>
  <c r="B495" i="2" s="1"/>
  <c r="E494" i="2"/>
  <c r="H494" i="2"/>
  <c r="M494" i="2" s="1"/>
  <c r="K494" i="2" s="1"/>
  <c r="F494" i="2"/>
  <c r="I495" i="2" l="1"/>
  <c r="J495" i="2" s="1"/>
  <c r="L494" i="2"/>
  <c r="A495" i="2"/>
  <c r="C495" i="2"/>
  <c r="H495" i="2" l="1"/>
  <c r="M495" i="2" s="1"/>
  <c r="K495" i="2" s="1"/>
  <c r="L495" i="2" s="1"/>
  <c r="E495" i="2"/>
  <c r="D495" i="2"/>
  <c r="B496" i="2" s="1"/>
  <c r="F495" i="2"/>
  <c r="A496" i="2" l="1"/>
  <c r="C496" i="2"/>
  <c r="I496" i="2"/>
  <c r="J496" i="2" s="1"/>
  <c r="F496" i="2" l="1"/>
  <c r="H496" i="2"/>
  <c r="M496" i="2" s="1"/>
  <c r="K496" i="2" s="1"/>
  <c r="E496" i="2"/>
  <c r="D496" i="2"/>
  <c r="B497" i="2" s="1"/>
  <c r="I497" i="2" l="1"/>
  <c r="J497" i="2" s="1"/>
  <c r="L496" i="2"/>
  <c r="A497" i="2"/>
  <c r="C497" i="2"/>
  <c r="E497" i="2" l="1"/>
  <c r="D497" i="2"/>
  <c r="B498" i="2" s="1"/>
  <c r="H497" i="2"/>
  <c r="M497" i="2" s="1"/>
  <c r="K497" i="2" s="1"/>
  <c r="F497" i="2"/>
  <c r="L497" i="2" l="1"/>
  <c r="I498" i="2"/>
  <c r="J498" i="2" s="1"/>
  <c r="A498" i="2"/>
  <c r="C498" i="2"/>
  <c r="F498" i="2" l="1"/>
  <c r="E498" i="2"/>
  <c r="D498" i="2"/>
  <c r="B499" i="2" s="1"/>
  <c r="H498" i="2"/>
  <c r="M498" i="2" s="1"/>
  <c r="K498" i="2" s="1"/>
  <c r="I499" i="2" l="1"/>
  <c r="J499" i="2" s="1"/>
  <c r="L498" i="2"/>
  <c r="C499" i="2"/>
  <c r="A499" i="2"/>
  <c r="H499" i="2" l="1"/>
  <c r="M499" i="2" s="1"/>
  <c r="K499" i="2" s="1"/>
  <c r="F499" i="2"/>
  <c r="E499" i="2"/>
  <c r="D499" i="2"/>
  <c r="B500" i="2" s="1"/>
  <c r="L499" i="2" l="1"/>
  <c r="I500" i="2"/>
  <c r="J500" i="2" s="1"/>
  <c r="A500" i="2"/>
  <c r="C500" i="2"/>
  <c r="E500" i="2" l="1"/>
  <c r="H500" i="2"/>
  <c r="M500" i="2" s="1"/>
  <c r="K500" i="2" s="1"/>
  <c r="I501" i="2" s="1"/>
  <c r="J501" i="2" s="1"/>
  <c r="F500" i="2"/>
  <c r="D500" i="2"/>
  <c r="B501" i="2" s="1"/>
  <c r="C501" i="2" l="1"/>
  <c r="A501" i="2"/>
  <c r="L500" i="2"/>
  <c r="H501" i="2" l="1"/>
  <c r="M501" i="2" s="1"/>
  <c r="K501" i="2" s="1"/>
  <c r="F501" i="2"/>
  <c r="E501" i="2"/>
  <c r="D501" i="2"/>
  <c r="B502" i="2" s="1"/>
  <c r="A502" i="2" l="1"/>
  <c r="C502" i="2"/>
  <c r="L501" i="2"/>
  <c r="I502" i="2"/>
  <c r="J502" i="2" s="1"/>
  <c r="H502" i="2" l="1"/>
  <c r="M502" i="2" s="1"/>
  <c r="K502" i="2" s="1"/>
  <c r="E502" i="2"/>
  <c r="D502" i="2"/>
  <c r="B503" i="2" s="1"/>
  <c r="F502" i="2"/>
  <c r="L502" i="2" l="1"/>
  <c r="I503" i="2"/>
  <c r="J503" i="2" s="1"/>
  <c r="A503" i="2"/>
  <c r="C503" i="2"/>
  <c r="F503" i="2" l="1"/>
  <c r="D503" i="2"/>
  <c r="B504" i="2" s="1"/>
  <c r="H503" i="2"/>
  <c r="M503" i="2" s="1"/>
  <c r="K503" i="2" s="1"/>
  <c r="E503" i="2"/>
  <c r="I504" i="2" l="1"/>
  <c r="J504" i="2" s="1"/>
  <c r="L503" i="2"/>
  <c r="C504" i="2"/>
  <c r="A504" i="2"/>
  <c r="F504" i="2" l="1"/>
  <c r="E504" i="2"/>
  <c r="H504" i="2"/>
  <c r="M504" i="2" s="1"/>
  <c r="K504" i="2" s="1"/>
  <c r="L504" i="2" s="1"/>
  <c r="D504" i="2"/>
  <c r="B505" i="2" s="1"/>
  <c r="C505" i="2" l="1"/>
  <c r="A505" i="2"/>
  <c r="I505" i="2"/>
  <c r="J505" i="2" s="1"/>
  <c r="H505" i="2" l="1"/>
  <c r="M505" i="2" s="1"/>
  <c r="K505" i="2" s="1"/>
  <c r="F505" i="2"/>
  <c r="E505" i="2"/>
  <c r="D505" i="2"/>
  <c r="B506" i="2" s="1"/>
  <c r="I506" i="2" l="1"/>
  <c r="J506" i="2" s="1"/>
  <c r="L505" i="2"/>
  <c r="A506" i="2"/>
  <c r="C506" i="2"/>
  <c r="E506" i="2" l="1"/>
  <c r="D506" i="2"/>
  <c r="B507" i="2" s="1"/>
  <c r="H506" i="2"/>
  <c r="M506" i="2" s="1"/>
  <c r="K506" i="2" s="1"/>
  <c r="F506" i="2"/>
  <c r="L506" i="2" l="1"/>
  <c r="I507" i="2"/>
  <c r="J507" i="2" s="1"/>
  <c r="C507" i="2"/>
  <c r="A507" i="2"/>
  <c r="D507" i="2" l="1"/>
  <c r="B508" i="2" s="1"/>
  <c r="H507" i="2"/>
  <c r="M507" i="2" s="1"/>
  <c r="K507" i="2" s="1"/>
  <c r="E507" i="2"/>
  <c r="F507" i="2"/>
  <c r="I508" i="2" l="1"/>
  <c r="J508" i="2" s="1"/>
  <c r="L507" i="2"/>
  <c r="A508" i="2"/>
  <c r="C508" i="2"/>
  <c r="D508" i="2" l="1"/>
  <c r="B509" i="2" s="1"/>
  <c r="F508" i="2"/>
  <c r="E508" i="2"/>
  <c r="H508" i="2"/>
  <c r="M508" i="2" s="1"/>
  <c r="K508" i="2" s="1"/>
  <c r="L508" i="2" s="1"/>
  <c r="A509" i="2" l="1"/>
  <c r="C509" i="2"/>
  <c r="I509" i="2"/>
  <c r="J509" i="2" s="1"/>
  <c r="F509" i="2" l="1"/>
  <c r="E509" i="2"/>
  <c r="D509" i="2"/>
  <c r="B510" i="2" s="1"/>
  <c r="H509" i="2"/>
  <c r="M509" i="2" s="1"/>
  <c r="K509" i="2" s="1"/>
  <c r="I510" i="2" l="1"/>
  <c r="J510" i="2" s="1"/>
  <c r="L509" i="2"/>
  <c r="A510" i="2"/>
  <c r="C510" i="2"/>
  <c r="E510" i="2" l="1"/>
  <c r="H510" i="2"/>
  <c r="M510" i="2" s="1"/>
  <c r="K510" i="2" s="1"/>
  <c r="I511" i="2" s="1"/>
  <c r="J511" i="2" s="1"/>
  <c r="F510" i="2"/>
  <c r="D510" i="2"/>
  <c r="B511" i="2" s="1"/>
  <c r="L510" i="2" l="1"/>
  <c r="A511" i="2"/>
  <c r="C511" i="2"/>
  <c r="D511" i="2" l="1"/>
  <c r="B512" i="2" s="1"/>
  <c r="E511" i="2"/>
  <c r="H511" i="2"/>
  <c r="M511" i="2" s="1"/>
  <c r="K511" i="2" s="1"/>
  <c r="F511" i="2"/>
  <c r="I512" i="2" l="1"/>
  <c r="J512" i="2" s="1"/>
  <c r="L511" i="2"/>
  <c r="A512" i="2"/>
  <c r="C512" i="2"/>
  <c r="D512" i="2" l="1"/>
  <c r="B513" i="2" s="1"/>
  <c r="H512" i="2"/>
  <c r="M512" i="2" s="1"/>
  <c r="K512" i="2" s="1"/>
  <c r="F512" i="2"/>
  <c r="E512" i="2"/>
  <c r="L512" i="2" l="1"/>
  <c r="I513" i="2"/>
  <c r="J513" i="2" s="1"/>
  <c r="A513" i="2"/>
  <c r="C513" i="2"/>
  <c r="H513" i="2" l="1"/>
  <c r="M513" i="2" s="1"/>
  <c r="K513" i="2" s="1"/>
  <c r="F513" i="2"/>
  <c r="E513" i="2"/>
  <c r="D513" i="2"/>
  <c r="B514" i="2" s="1"/>
  <c r="A514" i="2" l="1"/>
  <c r="C514" i="2"/>
  <c r="I514" i="2"/>
  <c r="J514" i="2" s="1"/>
  <c r="L513" i="2"/>
  <c r="E514" i="2" l="1"/>
  <c r="D514" i="2"/>
  <c r="B515" i="2" s="1"/>
  <c r="H514" i="2"/>
  <c r="M514" i="2" s="1"/>
  <c r="K514" i="2" s="1"/>
  <c r="F514" i="2"/>
  <c r="I515" i="2" l="1"/>
  <c r="J515" i="2" s="1"/>
  <c r="L514" i="2"/>
  <c r="A515" i="2"/>
  <c r="C515" i="2"/>
  <c r="H515" i="2" l="1"/>
  <c r="M515" i="2" s="1"/>
  <c r="K515" i="2" s="1"/>
  <c r="D515" i="2"/>
  <c r="B516" i="2" s="1"/>
  <c r="E515" i="2"/>
  <c r="F515" i="2"/>
  <c r="L515" i="2" l="1"/>
  <c r="I516" i="2"/>
  <c r="J516" i="2" s="1"/>
  <c r="A516" i="2"/>
  <c r="C516" i="2"/>
  <c r="D516" i="2" l="1"/>
  <c r="B517" i="2" s="1"/>
  <c r="E516" i="2"/>
  <c r="H516" i="2"/>
  <c r="M516" i="2" s="1"/>
  <c r="K516" i="2" s="1"/>
  <c r="I517" i="2" s="1"/>
  <c r="J517" i="2" s="1"/>
  <c r="F516" i="2"/>
  <c r="A517" i="2" l="1"/>
  <c r="C517" i="2"/>
  <c r="L516" i="2"/>
  <c r="H517" i="2" l="1"/>
  <c r="M517" i="2" s="1"/>
  <c r="K517" i="2" s="1"/>
  <c r="F517" i="2"/>
  <c r="E517" i="2"/>
  <c r="D517" i="2"/>
  <c r="B518" i="2" s="1"/>
  <c r="A518" i="2" l="1"/>
  <c r="C518" i="2"/>
  <c r="I518" i="2"/>
  <c r="J518" i="2" s="1"/>
  <c r="L517" i="2"/>
  <c r="E518" i="2" l="1"/>
  <c r="D518" i="2"/>
  <c r="B519" i="2" s="1"/>
  <c r="F518" i="2"/>
  <c r="H518" i="2"/>
  <c r="M518" i="2" s="1"/>
  <c r="K518" i="2" s="1"/>
  <c r="L518" i="2" l="1"/>
  <c r="I519" i="2"/>
  <c r="J519" i="2" s="1"/>
  <c r="A519" i="2"/>
  <c r="C519" i="2"/>
  <c r="H519" i="2" l="1"/>
  <c r="M519" i="2" s="1"/>
  <c r="K519" i="2" s="1"/>
  <c r="F519" i="2"/>
  <c r="E519" i="2"/>
  <c r="D519" i="2"/>
  <c r="B520" i="2" s="1"/>
  <c r="I520" i="2" l="1"/>
  <c r="J520" i="2" s="1"/>
  <c r="L519" i="2"/>
  <c r="A520" i="2"/>
  <c r="C520" i="2"/>
  <c r="E520" i="2" l="1"/>
  <c r="D520" i="2"/>
  <c r="B521" i="2" s="1"/>
  <c r="H520" i="2"/>
  <c r="M520" i="2" s="1"/>
  <c r="K520" i="2" s="1"/>
  <c r="F520" i="2"/>
  <c r="I521" i="2" l="1"/>
  <c r="J521" i="2" s="1"/>
  <c r="L520" i="2"/>
  <c r="C521" i="2"/>
  <c r="A521" i="2"/>
  <c r="D521" i="2" l="1"/>
  <c r="B522" i="2" s="1"/>
  <c r="H521" i="2"/>
  <c r="M521" i="2" s="1"/>
  <c r="K521" i="2" s="1"/>
  <c r="L521" i="2" s="1"/>
  <c r="F521" i="2"/>
  <c r="E521" i="2"/>
  <c r="I522" i="2" l="1"/>
  <c r="J522" i="2" s="1"/>
  <c r="C522" i="2"/>
  <c r="A522" i="2"/>
  <c r="D522" i="2" l="1"/>
  <c r="B523" i="2" s="1"/>
  <c r="H522" i="2"/>
  <c r="M522" i="2" s="1"/>
  <c r="K522" i="2" s="1"/>
  <c r="F522" i="2"/>
  <c r="E522" i="2"/>
  <c r="I523" i="2" l="1"/>
  <c r="J523" i="2" s="1"/>
  <c r="L522" i="2"/>
  <c r="C523" i="2"/>
  <c r="A523" i="2"/>
  <c r="E523" i="2" l="1"/>
  <c r="D523" i="2"/>
  <c r="B524" i="2" s="1"/>
  <c r="H523" i="2"/>
  <c r="M523" i="2" s="1"/>
  <c r="K523" i="2" s="1"/>
  <c r="F523" i="2"/>
  <c r="I524" i="2" l="1"/>
  <c r="J524" i="2" s="1"/>
  <c r="L523" i="2"/>
  <c r="A524" i="2"/>
  <c r="C524" i="2"/>
  <c r="F524" i="2" l="1"/>
  <c r="E524" i="2"/>
  <c r="H524" i="2"/>
  <c r="M524" i="2" s="1"/>
  <c r="K524" i="2" s="1"/>
  <c r="I525" i="2" s="1"/>
  <c r="J525" i="2" s="1"/>
  <c r="D524" i="2"/>
  <c r="B525" i="2" s="1"/>
  <c r="L524" i="2" l="1"/>
  <c r="A525" i="2"/>
  <c r="C525" i="2"/>
  <c r="H525" i="2" l="1"/>
  <c r="M525" i="2" s="1"/>
  <c r="K525" i="2" s="1"/>
  <c r="F525" i="2"/>
  <c r="E525" i="2"/>
  <c r="D525" i="2"/>
  <c r="B526" i="2" s="1"/>
  <c r="L525" i="2" l="1"/>
  <c r="I526" i="2"/>
  <c r="J526" i="2" s="1"/>
  <c r="A526" i="2"/>
  <c r="C526" i="2"/>
  <c r="H526" i="2" l="1"/>
  <c r="M526" i="2" s="1"/>
  <c r="K526" i="2" s="1"/>
  <c r="D526" i="2"/>
  <c r="B527" i="2" s="1"/>
  <c r="F526" i="2"/>
  <c r="E526" i="2"/>
  <c r="I527" i="2" l="1"/>
  <c r="J527" i="2" s="1"/>
  <c r="L526" i="2"/>
  <c r="C527" i="2"/>
  <c r="A527" i="2"/>
  <c r="E527" i="2" l="1"/>
  <c r="H527" i="2"/>
  <c r="M527" i="2" s="1"/>
  <c r="K527" i="2" s="1"/>
  <c r="L527" i="2" s="1"/>
  <c r="F527" i="2"/>
  <c r="D527" i="2"/>
  <c r="B528" i="2" s="1"/>
  <c r="A528" i="2" l="1"/>
  <c r="C528" i="2"/>
  <c r="I528" i="2"/>
  <c r="J528" i="2" s="1"/>
  <c r="H528" i="2" l="1"/>
  <c r="M528" i="2" s="1"/>
  <c r="K528" i="2" s="1"/>
  <c r="F528" i="2"/>
  <c r="E528" i="2"/>
  <c r="D528" i="2"/>
  <c r="B529" i="2" s="1"/>
  <c r="L528" i="2" l="1"/>
  <c r="I529" i="2"/>
  <c r="J529" i="2" s="1"/>
  <c r="C529" i="2"/>
  <c r="A529" i="2"/>
  <c r="E529" i="2" l="1"/>
  <c r="D529" i="2"/>
  <c r="B530" i="2" s="1"/>
  <c r="H529" i="2"/>
  <c r="M529" i="2" s="1"/>
  <c r="K529" i="2" s="1"/>
  <c r="F529" i="2"/>
  <c r="I530" i="2" l="1"/>
  <c r="J530" i="2" s="1"/>
  <c r="L529" i="2"/>
  <c r="A530" i="2"/>
  <c r="C530" i="2"/>
  <c r="D530" i="2" l="1"/>
  <c r="B531" i="2" s="1"/>
  <c r="E530" i="2"/>
  <c r="H530" i="2"/>
  <c r="M530" i="2" s="1"/>
  <c r="K530" i="2" s="1"/>
  <c r="I531" i="2" s="1"/>
  <c r="J531" i="2" s="1"/>
  <c r="F530" i="2"/>
  <c r="L530" i="2" l="1"/>
  <c r="A531" i="2"/>
  <c r="C531" i="2"/>
  <c r="D531" i="2" l="1"/>
  <c r="B532" i="2" s="1"/>
  <c r="F531" i="2"/>
  <c r="E531" i="2"/>
  <c r="H531" i="2"/>
  <c r="M531" i="2" s="1"/>
  <c r="K531" i="2" s="1"/>
  <c r="L531" i="2" l="1"/>
  <c r="I532" i="2"/>
  <c r="J532" i="2" s="1"/>
  <c r="C532" i="2"/>
  <c r="A532" i="2"/>
  <c r="E532" i="2" l="1"/>
  <c r="H532" i="2"/>
  <c r="M532" i="2" s="1"/>
  <c r="K532" i="2" s="1"/>
  <c r="I533" i="2" s="1"/>
  <c r="J533" i="2" s="1"/>
  <c r="F532" i="2"/>
  <c r="D532" i="2"/>
  <c r="B533" i="2" s="1"/>
  <c r="L532" i="2" l="1"/>
  <c r="A533" i="2"/>
  <c r="C533" i="2"/>
  <c r="F533" i="2" l="1"/>
  <c r="D533" i="2"/>
  <c r="B534" i="2" s="1"/>
  <c r="E533" i="2"/>
  <c r="H533" i="2"/>
  <c r="M533" i="2" s="1"/>
  <c r="K533" i="2" s="1"/>
  <c r="L533" i="2" l="1"/>
  <c r="I534" i="2"/>
  <c r="J534" i="2" s="1"/>
  <c r="A534" i="2"/>
  <c r="C534" i="2"/>
  <c r="D534" i="2" l="1"/>
  <c r="B535" i="2" s="1"/>
  <c r="H534" i="2"/>
  <c r="M534" i="2" s="1"/>
  <c r="K534" i="2" s="1"/>
  <c r="I535" i="2" s="1"/>
  <c r="J535" i="2" s="1"/>
  <c r="E534" i="2"/>
  <c r="F534" i="2"/>
  <c r="L534" i="2" l="1"/>
  <c r="C535" i="2"/>
  <c r="A535" i="2"/>
  <c r="H535" i="2" l="1"/>
  <c r="M535" i="2" s="1"/>
  <c r="K535" i="2" s="1"/>
  <c r="F535" i="2"/>
  <c r="E535" i="2"/>
  <c r="D535" i="2"/>
  <c r="B536" i="2" s="1"/>
  <c r="A536" i="2" l="1"/>
  <c r="C536" i="2"/>
  <c r="L535" i="2"/>
  <c r="I536" i="2"/>
  <c r="J536" i="2" s="1"/>
  <c r="H536" i="2" l="1"/>
  <c r="M536" i="2" s="1"/>
  <c r="K536" i="2" s="1"/>
  <c r="E536" i="2"/>
  <c r="D536" i="2"/>
  <c r="B537" i="2" s="1"/>
  <c r="F536" i="2"/>
  <c r="I537" i="2" l="1"/>
  <c r="J537" i="2" s="1"/>
  <c r="L536" i="2"/>
  <c r="A537" i="2"/>
  <c r="C537" i="2"/>
  <c r="D537" i="2" l="1"/>
  <c r="B538" i="2" s="1"/>
  <c r="E537" i="2"/>
  <c r="H537" i="2"/>
  <c r="M537" i="2" s="1"/>
  <c r="K537" i="2" s="1"/>
  <c r="F537" i="2"/>
  <c r="L537" i="2" l="1"/>
  <c r="I538" i="2"/>
  <c r="J538" i="2" s="1"/>
  <c r="C538" i="2"/>
  <c r="A538" i="2"/>
  <c r="H538" i="2" l="1"/>
  <c r="M538" i="2" s="1"/>
  <c r="K538" i="2" s="1"/>
  <c r="F538" i="2"/>
  <c r="E538" i="2"/>
  <c r="D538" i="2"/>
  <c r="B539" i="2" s="1"/>
  <c r="C539" i="2" l="1"/>
  <c r="A539" i="2"/>
  <c r="I539" i="2"/>
  <c r="J539" i="2" s="1"/>
  <c r="L538" i="2"/>
  <c r="D539" i="2" l="1"/>
  <c r="B540" i="2" s="1"/>
  <c r="E539" i="2"/>
  <c r="H539" i="2"/>
  <c r="M539" i="2" s="1"/>
  <c r="K539" i="2" s="1"/>
  <c r="F539" i="2"/>
  <c r="L539" i="2" l="1"/>
  <c r="I540" i="2"/>
  <c r="J540" i="2" s="1"/>
  <c r="A540" i="2"/>
  <c r="C540" i="2"/>
  <c r="F540" i="2" l="1"/>
  <c r="E540" i="2"/>
  <c r="D540" i="2"/>
  <c r="B541" i="2" s="1"/>
  <c r="H540" i="2"/>
  <c r="M540" i="2" s="1"/>
  <c r="K540" i="2" s="1"/>
  <c r="L540" i="2" s="1"/>
  <c r="I541" i="2" l="1"/>
  <c r="J541" i="2" s="1"/>
  <c r="A541" i="2"/>
  <c r="C541" i="2"/>
  <c r="F541" i="2" l="1"/>
  <c r="H541" i="2"/>
  <c r="M541" i="2" s="1"/>
  <c r="K541" i="2" s="1"/>
  <c r="E541" i="2"/>
  <c r="D541" i="2"/>
  <c r="B542" i="2" s="1"/>
  <c r="L541" i="2" l="1"/>
  <c r="I542" i="2"/>
  <c r="J542" i="2" s="1"/>
  <c r="C542" i="2"/>
  <c r="A542" i="2"/>
  <c r="E542" i="2" l="1"/>
  <c r="D542" i="2"/>
  <c r="B543" i="2" s="1"/>
  <c r="H542" i="2"/>
  <c r="M542" i="2" s="1"/>
  <c r="K542" i="2" s="1"/>
  <c r="I543" i="2" s="1"/>
  <c r="J543" i="2" s="1"/>
  <c r="F542" i="2"/>
  <c r="C543" i="2" l="1"/>
  <c r="A543" i="2"/>
  <c r="L542" i="2"/>
  <c r="D543" i="2" l="1"/>
  <c r="B544" i="2" s="1"/>
  <c r="H543" i="2"/>
  <c r="M543" i="2" s="1"/>
  <c r="K543" i="2" s="1"/>
  <c r="E543" i="2"/>
  <c r="F543" i="2"/>
  <c r="L543" i="2" l="1"/>
  <c r="I544" i="2"/>
  <c r="J544" i="2" s="1"/>
  <c r="A544" i="2"/>
  <c r="C544" i="2"/>
  <c r="E544" i="2" l="1"/>
  <c r="D544" i="2"/>
  <c r="B545" i="2" s="1"/>
  <c r="F544" i="2"/>
  <c r="H544" i="2"/>
  <c r="M544" i="2" s="1"/>
  <c r="K544" i="2" s="1"/>
  <c r="I545" i="2" l="1"/>
  <c r="J545" i="2" s="1"/>
  <c r="L544" i="2"/>
  <c r="A545" i="2"/>
  <c r="C545" i="2"/>
  <c r="F545" i="2" l="1"/>
  <c r="E545" i="2"/>
  <c r="D545" i="2"/>
  <c r="B546" i="2" s="1"/>
  <c r="H545" i="2"/>
  <c r="M545" i="2" s="1"/>
  <c r="K545" i="2" s="1"/>
  <c r="L545" i="2" l="1"/>
  <c r="I546" i="2"/>
  <c r="J546" i="2" s="1"/>
  <c r="C546" i="2"/>
  <c r="A546" i="2"/>
  <c r="H546" i="2" l="1"/>
  <c r="M546" i="2" s="1"/>
  <c r="K546" i="2" s="1"/>
  <c r="F546" i="2"/>
  <c r="D546" i="2"/>
  <c r="B547" i="2" s="1"/>
  <c r="E546" i="2"/>
  <c r="L546" i="2" l="1"/>
  <c r="I547" i="2"/>
  <c r="J547" i="2" s="1"/>
  <c r="A547" i="2"/>
  <c r="C547" i="2"/>
  <c r="H547" i="2" l="1"/>
  <c r="M547" i="2" s="1"/>
  <c r="K547" i="2" s="1"/>
  <c r="F547" i="2"/>
  <c r="E547" i="2"/>
  <c r="D547" i="2"/>
  <c r="B548" i="2" s="1"/>
  <c r="L547" i="2" l="1"/>
  <c r="I548" i="2"/>
  <c r="J548" i="2" s="1"/>
  <c r="C548" i="2"/>
  <c r="A548" i="2"/>
  <c r="D548" i="2" l="1"/>
  <c r="B549" i="2" s="1"/>
  <c r="E548" i="2"/>
  <c r="F548" i="2"/>
  <c r="H548" i="2"/>
  <c r="M548" i="2" s="1"/>
  <c r="K548" i="2" s="1"/>
  <c r="I549" i="2" l="1"/>
  <c r="J549" i="2" s="1"/>
  <c r="L548" i="2"/>
  <c r="C549" i="2"/>
  <c r="A549" i="2"/>
  <c r="H549" i="2" l="1"/>
  <c r="M549" i="2" s="1"/>
  <c r="K549" i="2" s="1"/>
  <c r="I550" i="2" s="1"/>
  <c r="J550" i="2" s="1"/>
  <c r="F549" i="2"/>
  <c r="E549" i="2"/>
  <c r="D549" i="2"/>
  <c r="B550" i="2" s="1"/>
  <c r="L549" i="2" l="1"/>
  <c r="C550" i="2"/>
  <c r="A550" i="2"/>
  <c r="D550" i="2" l="1"/>
  <c r="B551" i="2" s="1"/>
  <c r="H550" i="2"/>
  <c r="M550" i="2" s="1"/>
  <c r="K550" i="2" s="1"/>
  <c r="F550" i="2"/>
  <c r="E550" i="2"/>
  <c r="L550" i="2" l="1"/>
  <c r="I551" i="2"/>
  <c r="J551" i="2" s="1"/>
  <c r="A551" i="2"/>
  <c r="C551" i="2"/>
  <c r="F551" i="2" l="1"/>
  <c r="E551" i="2"/>
  <c r="H551" i="2"/>
  <c r="M551" i="2" s="1"/>
  <c r="K551" i="2" s="1"/>
  <c r="D551" i="2"/>
  <c r="B552" i="2" s="1"/>
  <c r="L551" i="2" l="1"/>
  <c r="I552" i="2"/>
  <c r="J552" i="2" s="1"/>
  <c r="A552" i="2"/>
  <c r="C552" i="2"/>
  <c r="D552" i="2" l="1"/>
  <c r="B553" i="2" s="1"/>
  <c r="H552" i="2"/>
  <c r="M552" i="2" s="1"/>
  <c r="K552" i="2" s="1"/>
  <c r="F552" i="2"/>
  <c r="E552" i="2"/>
  <c r="L552" i="2" l="1"/>
  <c r="I553" i="2"/>
  <c r="J553" i="2" s="1"/>
  <c r="A553" i="2"/>
  <c r="C553" i="2"/>
  <c r="H553" i="2" l="1"/>
  <c r="M553" i="2" s="1"/>
  <c r="K553" i="2" s="1"/>
  <c r="D553" i="2"/>
  <c r="B554" i="2" s="1"/>
  <c r="F553" i="2"/>
  <c r="E553" i="2"/>
  <c r="I554" i="2" l="1"/>
  <c r="J554" i="2" s="1"/>
  <c r="L553" i="2"/>
  <c r="C554" i="2"/>
  <c r="A554" i="2"/>
  <c r="F554" i="2" l="1"/>
  <c r="E554" i="2"/>
  <c r="D554" i="2"/>
  <c r="B555" i="2" s="1"/>
  <c r="H554" i="2"/>
  <c r="M554" i="2" s="1"/>
  <c r="K554" i="2" s="1"/>
  <c r="L554" i="2" l="1"/>
  <c r="I555" i="2"/>
  <c r="J555" i="2" s="1"/>
  <c r="C555" i="2"/>
  <c r="A555" i="2"/>
  <c r="D555" i="2" l="1"/>
  <c r="B556" i="2" s="1"/>
  <c r="F555" i="2"/>
  <c r="E555" i="2"/>
  <c r="H555" i="2"/>
  <c r="M555" i="2" s="1"/>
  <c r="K555" i="2" s="1"/>
  <c r="L555" i="2" l="1"/>
  <c r="I556" i="2"/>
  <c r="J556" i="2" s="1"/>
  <c r="A556" i="2"/>
  <c r="C556" i="2"/>
  <c r="E556" i="2" l="1"/>
  <c r="D556" i="2"/>
  <c r="B557" i="2" s="1"/>
  <c r="H556" i="2"/>
  <c r="M556" i="2" s="1"/>
  <c r="K556" i="2" s="1"/>
  <c r="F556" i="2"/>
  <c r="I557" i="2" l="1"/>
  <c r="J557" i="2" s="1"/>
  <c r="L556" i="2"/>
  <c r="A557" i="2"/>
  <c r="C557" i="2"/>
  <c r="F557" i="2" l="1"/>
  <c r="E557" i="2"/>
  <c r="H557" i="2"/>
  <c r="M557" i="2" s="1"/>
  <c r="K557" i="2" s="1"/>
  <c r="D557" i="2"/>
  <c r="B558" i="2" s="1"/>
  <c r="I558" i="2" l="1"/>
  <c r="J558" i="2" s="1"/>
  <c r="L557" i="2"/>
  <c r="A558" i="2"/>
  <c r="C558" i="2"/>
  <c r="H558" i="2" l="1"/>
  <c r="M558" i="2" s="1"/>
  <c r="K558" i="2" s="1"/>
  <c r="F558" i="2"/>
  <c r="E558" i="2"/>
  <c r="D558" i="2"/>
  <c r="B559" i="2" s="1"/>
  <c r="L558" i="2" l="1"/>
  <c r="I559" i="2"/>
  <c r="J559" i="2" s="1"/>
  <c r="C559" i="2"/>
  <c r="A559" i="2"/>
  <c r="H559" i="2" l="1"/>
  <c r="M559" i="2" s="1"/>
  <c r="K559" i="2" s="1"/>
  <c r="D559" i="2"/>
  <c r="B560" i="2" s="1"/>
  <c r="F559" i="2"/>
  <c r="E559" i="2"/>
  <c r="L559" i="2" l="1"/>
  <c r="I560" i="2"/>
  <c r="J560" i="2" s="1"/>
  <c r="C560" i="2"/>
  <c r="A560" i="2"/>
  <c r="H560" i="2" l="1"/>
  <c r="M560" i="2" s="1"/>
  <c r="K560" i="2" s="1"/>
  <c r="F560" i="2"/>
  <c r="D560" i="2"/>
  <c r="B561" i="2" s="1"/>
  <c r="E560" i="2"/>
  <c r="C561" i="2" l="1"/>
  <c r="A561" i="2"/>
  <c r="L560" i="2"/>
  <c r="I561" i="2"/>
  <c r="J561" i="2" s="1"/>
  <c r="E561" i="2" l="1"/>
  <c r="D561" i="2"/>
  <c r="B562" i="2" s="1"/>
  <c r="H561" i="2"/>
  <c r="M561" i="2" s="1"/>
  <c r="K561" i="2" s="1"/>
  <c r="F561" i="2"/>
  <c r="L561" i="2" l="1"/>
  <c r="I562" i="2"/>
  <c r="J562" i="2" s="1"/>
  <c r="A562" i="2"/>
  <c r="C562" i="2"/>
  <c r="E562" i="2" l="1"/>
  <c r="F562" i="2"/>
  <c r="D562" i="2"/>
  <c r="B563" i="2" s="1"/>
  <c r="H562" i="2"/>
  <c r="M562" i="2" s="1"/>
  <c r="K562" i="2" s="1"/>
  <c r="L562" i="2" l="1"/>
  <c r="I563" i="2"/>
  <c r="J563" i="2" s="1"/>
  <c r="C563" i="2"/>
  <c r="A563" i="2"/>
  <c r="D563" i="2" l="1"/>
  <c r="B564" i="2" s="1"/>
  <c r="H563" i="2"/>
  <c r="M563" i="2" s="1"/>
  <c r="K563" i="2" s="1"/>
  <c r="F563" i="2"/>
  <c r="E563" i="2"/>
  <c r="L563" i="2" l="1"/>
  <c r="I564" i="2"/>
  <c r="J564" i="2" s="1"/>
  <c r="A564" i="2"/>
  <c r="C564" i="2"/>
  <c r="H564" i="2" l="1"/>
  <c r="M564" i="2" s="1"/>
  <c r="K564" i="2" s="1"/>
  <c r="F564" i="2"/>
  <c r="D564" i="2"/>
  <c r="B565" i="2" s="1"/>
  <c r="E564" i="2"/>
  <c r="L564" i="2" l="1"/>
  <c r="I565" i="2"/>
  <c r="J565" i="2" s="1"/>
  <c r="A565" i="2"/>
  <c r="C565" i="2"/>
  <c r="E565" i="2" l="1"/>
  <c r="H565" i="2"/>
  <c r="M565" i="2" s="1"/>
  <c r="K565" i="2" s="1"/>
  <c r="F565" i="2"/>
  <c r="D565" i="2"/>
  <c r="B566" i="2" s="1"/>
  <c r="I566" i="2" l="1"/>
  <c r="J566" i="2" s="1"/>
  <c r="L565" i="2"/>
  <c r="C566" i="2"/>
  <c r="A566" i="2"/>
  <c r="H566" i="2" l="1"/>
  <c r="M566" i="2" s="1"/>
  <c r="K566" i="2" s="1"/>
  <c r="F566" i="2"/>
  <c r="E566" i="2"/>
  <c r="D566" i="2"/>
  <c r="B567" i="2" s="1"/>
  <c r="L566" i="2" l="1"/>
  <c r="I567" i="2"/>
  <c r="J567" i="2" s="1"/>
  <c r="C567" i="2"/>
  <c r="A567" i="2"/>
  <c r="D567" i="2" l="1"/>
  <c r="B568" i="2" s="1"/>
  <c r="E567" i="2"/>
  <c r="F567" i="2"/>
  <c r="H567" i="2"/>
  <c r="M567" i="2" s="1"/>
  <c r="K567" i="2" s="1"/>
  <c r="I568" i="2" l="1"/>
  <c r="J568" i="2" s="1"/>
  <c r="L567" i="2"/>
  <c r="C568" i="2"/>
  <c r="A568" i="2"/>
  <c r="E568" i="2" l="1"/>
  <c r="D568" i="2"/>
  <c r="B569" i="2" s="1"/>
  <c r="H568" i="2"/>
  <c r="M568" i="2" s="1"/>
  <c r="K568" i="2" s="1"/>
  <c r="F568" i="2"/>
  <c r="L568" i="2" l="1"/>
  <c r="I569" i="2"/>
  <c r="J569" i="2" s="1"/>
  <c r="C569" i="2"/>
  <c r="A569" i="2"/>
  <c r="F569" i="2" l="1"/>
  <c r="E569" i="2"/>
  <c r="D569" i="2"/>
  <c r="B570" i="2" s="1"/>
  <c r="H569" i="2"/>
  <c r="M569" i="2" s="1"/>
  <c r="K569" i="2" s="1"/>
  <c r="L569" i="2" l="1"/>
  <c r="I570" i="2"/>
  <c r="J570" i="2" s="1"/>
  <c r="A570" i="2"/>
  <c r="C570" i="2"/>
  <c r="H570" i="2" l="1"/>
  <c r="M570" i="2" s="1"/>
  <c r="K570" i="2" s="1"/>
  <c r="F570" i="2"/>
  <c r="E570" i="2"/>
  <c r="D570" i="2"/>
  <c r="B571" i="2" s="1"/>
  <c r="L570" i="2" l="1"/>
  <c r="I571" i="2"/>
  <c r="J571" i="2" s="1"/>
  <c r="A571" i="2"/>
  <c r="C571" i="2"/>
  <c r="H571" i="2" l="1"/>
  <c r="M571" i="2" s="1"/>
  <c r="K571" i="2" s="1"/>
  <c r="D571" i="2"/>
  <c r="B572" i="2" s="1"/>
  <c r="F571" i="2"/>
  <c r="E571" i="2"/>
  <c r="L571" i="2" l="1"/>
  <c r="I572" i="2"/>
  <c r="J572" i="2" s="1"/>
  <c r="A572" i="2"/>
  <c r="C572" i="2"/>
  <c r="E572" i="2" l="1"/>
  <c r="D572" i="2"/>
  <c r="B573" i="2" s="1"/>
  <c r="H572" i="2"/>
  <c r="M572" i="2" s="1"/>
  <c r="K572" i="2" s="1"/>
  <c r="F572" i="2"/>
  <c r="I573" i="2" l="1"/>
  <c r="J573" i="2" s="1"/>
  <c r="L572" i="2"/>
  <c r="C573" i="2"/>
  <c r="A573" i="2"/>
  <c r="H573" i="2" l="1"/>
  <c r="M573" i="2" s="1"/>
  <c r="K573" i="2" s="1"/>
  <c r="F573" i="2"/>
  <c r="E573" i="2"/>
  <c r="D573" i="2"/>
  <c r="B574" i="2" s="1"/>
  <c r="L573" i="2" l="1"/>
  <c r="I574" i="2"/>
  <c r="J574" i="2" s="1"/>
  <c r="C574" i="2"/>
  <c r="A574" i="2"/>
  <c r="F574" i="2" l="1"/>
  <c r="H574" i="2"/>
  <c r="M574" i="2" s="1"/>
  <c r="K574" i="2" s="1"/>
  <c r="D574" i="2"/>
  <c r="B575" i="2" s="1"/>
  <c r="E574" i="2"/>
  <c r="L574" i="2" l="1"/>
  <c r="I575" i="2"/>
  <c r="J575" i="2" s="1"/>
  <c r="A575" i="2"/>
  <c r="C575" i="2"/>
  <c r="E575" i="2" l="1"/>
  <c r="D575" i="2"/>
  <c r="B576" i="2" s="1"/>
  <c r="H575" i="2"/>
  <c r="M575" i="2" s="1"/>
  <c r="K575" i="2" s="1"/>
  <c r="F575" i="2"/>
  <c r="I576" i="2" l="1"/>
  <c r="J576" i="2" s="1"/>
  <c r="L575" i="2"/>
  <c r="A576" i="2"/>
  <c r="C576" i="2"/>
  <c r="E576" i="2" l="1"/>
  <c r="D576" i="2"/>
  <c r="B577" i="2" s="1"/>
  <c r="F576" i="2"/>
  <c r="H576" i="2"/>
  <c r="M576" i="2" s="1"/>
  <c r="K576" i="2" s="1"/>
  <c r="L576" i="2" l="1"/>
  <c r="I577" i="2"/>
  <c r="J577" i="2" s="1"/>
  <c r="A577" i="2"/>
  <c r="C577" i="2"/>
  <c r="H577" i="2" l="1"/>
  <c r="M577" i="2" s="1"/>
  <c r="K577" i="2" s="1"/>
  <c r="F577" i="2"/>
  <c r="E577" i="2"/>
  <c r="D577" i="2"/>
  <c r="B578" i="2" s="1"/>
  <c r="L577" i="2" l="1"/>
  <c r="I578" i="2"/>
  <c r="J578" i="2" s="1"/>
  <c r="C578" i="2"/>
  <c r="A578" i="2"/>
  <c r="F578" i="2" l="1"/>
  <c r="H578" i="2"/>
  <c r="M578" i="2" s="1"/>
  <c r="K578" i="2" s="1"/>
  <c r="E578" i="2"/>
  <c r="D578" i="2"/>
  <c r="B579" i="2" s="1"/>
  <c r="I579" i="2" l="1"/>
  <c r="J579" i="2" s="1"/>
  <c r="L578" i="2"/>
  <c r="C579" i="2"/>
  <c r="A579" i="2"/>
  <c r="D579" i="2" l="1"/>
  <c r="B580" i="2" s="1"/>
  <c r="H579" i="2"/>
  <c r="M579" i="2" s="1"/>
  <c r="K579" i="2" s="1"/>
  <c r="E579" i="2"/>
  <c r="F579" i="2"/>
  <c r="L579" i="2" l="1"/>
  <c r="I580" i="2"/>
  <c r="J580" i="2" s="1"/>
  <c r="C580" i="2"/>
  <c r="A580" i="2"/>
  <c r="E580" i="2" l="1"/>
  <c r="D580" i="2"/>
  <c r="B581" i="2" s="1"/>
  <c r="H580" i="2"/>
  <c r="M580" i="2" s="1"/>
  <c r="K580" i="2" s="1"/>
  <c r="F580" i="2"/>
  <c r="L580" i="2" l="1"/>
  <c r="I581" i="2"/>
  <c r="J581" i="2" s="1"/>
  <c r="A581" i="2"/>
  <c r="C581" i="2"/>
  <c r="F581" i="2" l="1"/>
  <c r="E581" i="2"/>
  <c r="H581" i="2"/>
  <c r="M581" i="2" s="1"/>
  <c r="K581" i="2" s="1"/>
  <c r="D581" i="2"/>
  <c r="B582" i="2" s="1"/>
  <c r="L581" i="2" l="1"/>
  <c r="I582" i="2"/>
  <c r="J582" i="2" s="1"/>
  <c r="C582" i="2"/>
  <c r="A582" i="2"/>
  <c r="H582" i="2" l="1"/>
  <c r="M582" i="2" s="1"/>
  <c r="K582" i="2" s="1"/>
  <c r="F582" i="2"/>
  <c r="D582" i="2"/>
  <c r="B583" i="2" s="1"/>
  <c r="E582" i="2"/>
  <c r="L582" i="2" l="1"/>
  <c r="I583" i="2"/>
  <c r="J583" i="2" s="1"/>
  <c r="A583" i="2"/>
  <c r="C583" i="2"/>
  <c r="H583" i="2" l="1"/>
  <c r="M583" i="2" s="1"/>
  <c r="K583" i="2" s="1"/>
  <c r="D583" i="2"/>
  <c r="B584" i="2" s="1"/>
  <c r="E583" i="2"/>
  <c r="F583" i="2"/>
  <c r="L583" i="2" l="1"/>
  <c r="I584" i="2"/>
  <c r="J584" i="2" s="1"/>
  <c r="C584" i="2"/>
  <c r="A584" i="2"/>
  <c r="F584" i="2" l="1"/>
  <c r="E584" i="2"/>
  <c r="H584" i="2"/>
  <c r="M584" i="2" s="1"/>
  <c r="K584" i="2" s="1"/>
  <c r="D584" i="2"/>
  <c r="B585" i="2" s="1"/>
  <c r="I585" i="2" l="1"/>
  <c r="J585" i="2" s="1"/>
  <c r="L584" i="2"/>
  <c r="A585" i="2"/>
  <c r="C585" i="2"/>
  <c r="F585" i="2" l="1"/>
  <c r="E585" i="2"/>
  <c r="D585" i="2"/>
  <c r="B586" i="2" s="1"/>
  <c r="H585" i="2"/>
  <c r="M585" i="2" s="1"/>
  <c r="K585" i="2" s="1"/>
  <c r="I586" i="2" l="1"/>
  <c r="J586" i="2" s="1"/>
  <c r="L585" i="2"/>
  <c r="A586" i="2"/>
  <c r="C586" i="2"/>
  <c r="D586" i="2" l="1"/>
  <c r="B587" i="2" s="1"/>
  <c r="H586" i="2"/>
  <c r="M586" i="2" s="1"/>
  <c r="K586" i="2" s="1"/>
  <c r="F586" i="2"/>
  <c r="E586" i="2"/>
  <c r="L586" i="2" l="1"/>
  <c r="I587" i="2"/>
  <c r="J587" i="2" s="1"/>
  <c r="A587" i="2"/>
  <c r="C587" i="2"/>
  <c r="H587" i="2" l="1"/>
  <c r="M587" i="2" s="1"/>
  <c r="K587" i="2" s="1"/>
  <c r="F587" i="2"/>
  <c r="E587" i="2"/>
  <c r="D587" i="2"/>
  <c r="B588" i="2" s="1"/>
  <c r="L587" i="2" l="1"/>
  <c r="I588" i="2"/>
  <c r="J588" i="2" s="1"/>
  <c r="A588" i="2"/>
  <c r="C588" i="2"/>
  <c r="H588" i="2" l="1"/>
  <c r="M588" i="2" s="1"/>
  <c r="K588" i="2" s="1"/>
  <c r="D588" i="2"/>
  <c r="B589" i="2" s="1"/>
  <c r="F588" i="2"/>
  <c r="E588" i="2"/>
  <c r="L588" i="2" l="1"/>
  <c r="I589" i="2"/>
  <c r="J589" i="2" s="1"/>
  <c r="A589" i="2"/>
  <c r="C589" i="2"/>
  <c r="F589" i="2" l="1"/>
  <c r="E589" i="2"/>
  <c r="D589" i="2"/>
  <c r="B590" i="2" s="1"/>
  <c r="H589" i="2"/>
  <c r="M589" i="2" s="1"/>
  <c r="K589" i="2" s="1"/>
  <c r="L589" i="2" l="1"/>
  <c r="I590" i="2"/>
  <c r="J590" i="2" s="1"/>
  <c r="C590" i="2"/>
  <c r="A590" i="2"/>
  <c r="D590" i="2" l="1"/>
  <c r="B591" i="2" s="1"/>
  <c r="E590" i="2"/>
  <c r="F590" i="2"/>
  <c r="H590" i="2"/>
  <c r="M590" i="2" s="1"/>
  <c r="K590" i="2" s="1"/>
  <c r="L590" i="2" l="1"/>
  <c r="I591" i="2"/>
  <c r="J591" i="2" s="1"/>
  <c r="C591" i="2"/>
  <c r="A591" i="2"/>
  <c r="D591" i="2" l="1"/>
  <c r="B592" i="2" s="1"/>
  <c r="H591" i="2"/>
  <c r="M591" i="2" s="1"/>
  <c r="K591" i="2" s="1"/>
  <c r="F591" i="2"/>
  <c r="E591" i="2"/>
  <c r="L591" i="2" l="1"/>
  <c r="I592" i="2"/>
  <c r="J592" i="2" s="1"/>
  <c r="A592" i="2"/>
  <c r="C592" i="2"/>
  <c r="E592" i="2" l="1"/>
  <c r="D592" i="2"/>
  <c r="B593" i="2" s="1"/>
  <c r="H592" i="2"/>
  <c r="M592" i="2" s="1"/>
  <c r="K592" i="2" s="1"/>
  <c r="F592" i="2"/>
  <c r="I593" i="2" l="1"/>
  <c r="J593" i="2" s="1"/>
  <c r="L592" i="2"/>
  <c r="C593" i="2"/>
  <c r="A593" i="2"/>
  <c r="F593" i="2" l="1"/>
  <c r="E593" i="2"/>
  <c r="D593" i="2"/>
  <c r="B594" i="2" s="1"/>
  <c r="H593" i="2"/>
  <c r="M593" i="2" s="1"/>
  <c r="K593" i="2" s="1"/>
  <c r="L593" i="2" l="1"/>
  <c r="I594" i="2"/>
  <c r="J594" i="2" s="1"/>
  <c r="C594" i="2"/>
  <c r="A594" i="2"/>
  <c r="H594" i="2" l="1"/>
  <c r="M594" i="2" s="1"/>
  <c r="K594" i="2" s="1"/>
  <c r="F594" i="2"/>
  <c r="E594" i="2"/>
  <c r="D594" i="2"/>
  <c r="B595" i="2" s="1"/>
  <c r="I595" i="2" l="1"/>
  <c r="J595" i="2" s="1"/>
  <c r="L594" i="2"/>
  <c r="C595" i="2"/>
  <c r="A595" i="2"/>
  <c r="H595" i="2" l="1"/>
  <c r="M595" i="2" s="1"/>
  <c r="K595" i="2" s="1"/>
  <c r="E595" i="2"/>
  <c r="F595" i="2"/>
  <c r="D595" i="2"/>
  <c r="B596" i="2" s="1"/>
  <c r="L595" i="2" l="1"/>
  <c r="I596" i="2"/>
  <c r="J596" i="2" s="1"/>
  <c r="A596" i="2"/>
  <c r="C596" i="2"/>
  <c r="D596" i="2" l="1"/>
  <c r="B597" i="2" s="1"/>
  <c r="E596" i="2"/>
  <c r="H596" i="2"/>
  <c r="M596" i="2" s="1"/>
  <c r="K596" i="2" s="1"/>
  <c r="F596" i="2"/>
  <c r="L596" i="2" l="1"/>
  <c r="I597" i="2"/>
  <c r="J597" i="2" s="1"/>
  <c r="C597" i="2"/>
  <c r="A597" i="2"/>
  <c r="D597" i="2" l="1"/>
  <c r="B598" i="2" s="1"/>
  <c r="E597" i="2"/>
  <c r="F597" i="2"/>
  <c r="H597" i="2"/>
  <c r="M597" i="2" s="1"/>
  <c r="K597" i="2" s="1"/>
  <c r="L597" i="2" l="1"/>
  <c r="I598" i="2"/>
  <c r="J598" i="2" s="1"/>
  <c r="A598" i="2"/>
  <c r="C598" i="2"/>
  <c r="H598" i="2" l="1"/>
  <c r="M598" i="2" s="1"/>
  <c r="K598" i="2" s="1"/>
  <c r="F598" i="2"/>
  <c r="E598" i="2"/>
  <c r="D598" i="2"/>
  <c r="B599" i="2" s="1"/>
  <c r="L598" i="2" l="1"/>
  <c r="I599" i="2"/>
  <c r="J599" i="2" s="1"/>
  <c r="C599" i="2"/>
  <c r="A599" i="2"/>
  <c r="E599" i="2" l="1"/>
  <c r="H599" i="2"/>
  <c r="M599" i="2" s="1"/>
  <c r="K599" i="2" s="1"/>
  <c r="D599" i="2"/>
  <c r="B600" i="2" s="1"/>
  <c r="F599" i="2"/>
  <c r="L599" i="2" l="1"/>
  <c r="I600" i="2"/>
  <c r="J600" i="2" s="1"/>
  <c r="A600" i="2"/>
  <c r="C600" i="2"/>
  <c r="H600" i="2" l="1"/>
  <c r="M600" i="2" s="1"/>
  <c r="K600" i="2" s="1"/>
  <c r="F600" i="2"/>
  <c r="E600" i="2"/>
  <c r="D600" i="2"/>
  <c r="B601" i="2" s="1"/>
  <c r="L600" i="2" l="1"/>
  <c r="I601" i="2"/>
  <c r="J601" i="2" s="1"/>
  <c r="A601" i="2"/>
  <c r="C601" i="2"/>
  <c r="D601" i="2" l="1"/>
  <c r="B602" i="2" s="1"/>
  <c r="H601" i="2"/>
  <c r="M601" i="2" s="1"/>
  <c r="K601" i="2" s="1"/>
  <c r="F601" i="2"/>
  <c r="E601" i="2"/>
  <c r="L601" i="2" l="1"/>
  <c r="I602" i="2"/>
  <c r="J602" i="2" s="1"/>
  <c r="C602" i="2"/>
  <c r="A602" i="2"/>
  <c r="H602" i="2" l="1"/>
  <c r="M602" i="2" s="1"/>
  <c r="K602" i="2" s="1"/>
  <c r="F602" i="2"/>
  <c r="D602" i="2"/>
  <c r="B603" i="2" s="1"/>
  <c r="E602" i="2"/>
  <c r="L602" i="2" l="1"/>
  <c r="I603" i="2"/>
  <c r="J603" i="2" s="1"/>
  <c r="C603" i="2"/>
  <c r="A603" i="2"/>
  <c r="D603" i="2" l="1"/>
  <c r="B604" i="2" s="1"/>
  <c r="E603" i="2"/>
  <c r="H603" i="2"/>
  <c r="M603" i="2" s="1"/>
  <c r="K603" i="2" s="1"/>
  <c r="F603" i="2"/>
  <c r="L603" i="2" l="1"/>
  <c r="I604" i="2"/>
  <c r="J604" i="2" s="1"/>
  <c r="C604" i="2"/>
  <c r="A604" i="2"/>
  <c r="E604" i="2" l="1"/>
  <c r="D604" i="2"/>
  <c r="B605" i="2" s="1"/>
  <c r="F604" i="2"/>
  <c r="H604" i="2"/>
  <c r="M604" i="2" s="1"/>
  <c r="K604" i="2" s="1"/>
  <c r="L604" i="2" l="1"/>
  <c r="I605" i="2"/>
  <c r="J605" i="2" s="1"/>
  <c r="A605" i="2"/>
  <c r="C605" i="2"/>
  <c r="F605" i="2" l="1"/>
  <c r="E605" i="2"/>
  <c r="H605" i="2"/>
  <c r="M605" i="2" s="1"/>
  <c r="K605" i="2" s="1"/>
  <c r="D605" i="2"/>
  <c r="B606" i="2" s="1"/>
  <c r="L605" i="2" l="1"/>
  <c r="I606" i="2"/>
  <c r="J606" i="2" s="1"/>
  <c r="A606" i="2"/>
  <c r="C606" i="2"/>
  <c r="H606" i="2" l="1"/>
  <c r="M606" i="2" s="1"/>
  <c r="K606" i="2" s="1"/>
  <c r="F606" i="2"/>
  <c r="E606" i="2"/>
  <c r="D606" i="2"/>
  <c r="B607" i="2" s="1"/>
  <c r="L606" i="2" l="1"/>
  <c r="I607" i="2"/>
  <c r="J607" i="2" s="1"/>
  <c r="C607" i="2"/>
  <c r="A607" i="2"/>
  <c r="H607" i="2" l="1"/>
  <c r="M607" i="2" s="1"/>
  <c r="K607" i="2" s="1"/>
  <c r="D607" i="2"/>
  <c r="B608" i="2" s="1"/>
  <c r="F607" i="2"/>
  <c r="E607" i="2"/>
  <c r="L607" i="2" l="1"/>
  <c r="I608" i="2"/>
  <c r="J608" i="2" s="1"/>
  <c r="A608" i="2"/>
  <c r="C608" i="2"/>
  <c r="D608" i="2" l="1"/>
  <c r="B609" i="2" s="1"/>
  <c r="H608" i="2"/>
  <c r="M608" i="2" s="1"/>
  <c r="K608" i="2" s="1"/>
  <c r="F608" i="2"/>
  <c r="E608" i="2"/>
  <c r="L608" i="2" l="1"/>
  <c r="I609" i="2"/>
  <c r="J609" i="2" s="1"/>
  <c r="C609" i="2"/>
  <c r="A609" i="2"/>
  <c r="E609" i="2" l="1"/>
  <c r="D609" i="2"/>
  <c r="B610" i="2" s="1"/>
  <c r="F609" i="2"/>
  <c r="H609" i="2"/>
  <c r="M609" i="2" s="1"/>
  <c r="K609" i="2" s="1"/>
  <c r="L609" i="2" l="1"/>
  <c r="I610" i="2"/>
  <c r="C610" i="2"/>
  <c r="A610" i="2"/>
  <c r="F610" i="2" l="1"/>
  <c r="A8" i="2" s="1"/>
  <c r="H610" i="2"/>
  <c r="M610" i="2" s="1"/>
  <c r="E610" i="2"/>
  <c r="D610" i="2"/>
  <c r="J610" i="2"/>
  <c r="H8" i="2"/>
  <c r="K610" i="2" l="1"/>
  <c r="L610" i="2" s="1"/>
</calcChain>
</file>

<file path=xl/sharedStrings.xml><?xml version="1.0" encoding="utf-8"?>
<sst xmlns="http://schemas.openxmlformats.org/spreadsheetml/2006/main" count="114" uniqueCount="72">
  <si>
    <t>Bedrag</t>
  </si>
  <si>
    <t>Rente</t>
  </si>
  <si>
    <t>Vorm</t>
  </si>
  <si>
    <t>Annuïtair</t>
  </si>
  <si>
    <t>Lineair</t>
  </si>
  <si>
    <t>Looptijd</t>
  </si>
  <si>
    <t>jaar</t>
  </si>
  <si>
    <t>Hypotheek vergelijken</t>
  </si>
  <si>
    <t>Hoofdsom</t>
  </si>
  <si>
    <t>Rentepercentage</t>
  </si>
  <si>
    <t>Looptijd in maanden</t>
  </si>
  <si>
    <t>Periode</t>
  </si>
  <si>
    <t>Totale schuld</t>
  </si>
  <si>
    <t>Te betalen rente</t>
  </si>
  <si>
    <t>Te betalen aflossing</t>
  </si>
  <si>
    <t>Restschuld</t>
  </si>
  <si>
    <t>Totale maandbedrag</t>
  </si>
  <si>
    <t>Maand 1</t>
  </si>
  <si>
    <t>Jaar 1</t>
  </si>
  <si>
    <t>Hele looptijd</t>
  </si>
  <si>
    <t>Bruto</t>
  </si>
  <si>
    <t>Maandlasten</t>
  </si>
  <si>
    <t>Aftrek</t>
  </si>
  <si>
    <t>Netto</t>
  </si>
  <si>
    <t>Maandlatsen</t>
  </si>
  <si>
    <t>Rente-aftrek</t>
  </si>
  <si>
    <t>Lasten</t>
  </si>
  <si>
    <t>Gemiddeld per maand</t>
  </si>
  <si>
    <t>Ontvangen</t>
  </si>
  <si>
    <t>Box 3</t>
  </si>
  <si>
    <t>Belasting</t>
  </si>
  <si>
    <t>Box 3 belasting</t>
  </si>
  <si>
    <t>Ontvangsten</t>
  </si>
  <si>
    <t>Te betalen</t>
  </si>
  <si>
    <t>BV</t>
  </si>
  <si>
    <t>Totaal belasting BV</t>
  </si>
  <si>
    <t>KIND  = leningnemer</t>
  </si>
  <si>
    <t>OUDER = geldverstrekker</t>
  </si>
  <si>
    <t>Verstrekken vanuit privé</t>
  </si>
  <si>
    <t>Verstrekken vanuit de BV</t>
  </si>
  <si>
    <t>Belastingvoordeel kind door hypotheekrenteaftrek</t>
  </si>
  <si>
    <t>Te betalen belasting ouder in box 3</t>
  </si>
  <si>
    <t>Te betalen belasting ouder in de BV</t>
  </si>
  <si>
    <t>Samenvatting belastingen</t>
  </si>
  <si>
    <t>Winst onder € 200.000 en laag box 2 tarief</t>
  </si>
  <si>
    <t>Winst boven € 200.000 en laag box 2 tarief</t>
  </si>
  <si>
    <t>Winst onder € 200.000 en hoog box 2 tarief</t>
  </si>
  <si>
    <t>Winst boven € 200.000 en hoog box 2 tarief</t>
  </si>
  <si>
    <t>Incl. box 2</t>
  </si>
  <si>
    <t>Excl. Box 2</t>
  </si>
  <si>
    <t>Meer weten of meteen besparingen in gang zetten? Neem contact met me op!</t>
  </si>
  <si>
    <t>Telefoon: 033-3037709</t>
  </si>
  <si>
    <t>Email: david@personalwealth.nl</t>
  </si>
  <si>
    <t>Aan dit document kan op geen enkele manier rechten worden ontleend</t>
  </si>
  <si>
    <t>Deze rekentool geeft een sterk vereenvoudigde weergave van de werkelijkheid, zonder met alle aspecten rekening te houden</t>
  </si>
  <si>
    <t>Voor professioneel advies is het verstandig een expert te raadplegen</t>
  </si>
  <si>
    <t>VPB tarief in BV</t>
  </si>
  <si>
    <t>Box 2 tarief</t>
  </si>
  <si>
    <t>Box 2 meenemen?</t>
  </si>
  <si>
    <t>ja</t>
  </si>
  <si>
    <t>nee</t>
  </si>
  <si>
    <t>Gele cellen invullen!</t>
  </si>
  <si>
    <t>&lt;= invullen</t>
  </si>
  <si>
    <t>&lt;= selecteren</t>
  </si>
  <si>
    <t>&lt;= selecteren: 19% tot een winst van 200k, daarboven 25,8%</t>
  </si>
  <si>
    <t xml:space="preserve">&lt;= selecteren: 24,5% tot € 68.843 dividend per persoon, daarboven 31% </t>
  </si>
  <si>
    <t>&lt;= selecteren: wil je de box 2 heffing naar privé meenemen in de berekening?</t>
  </si>
  <si>
    <t>Eerste maand</t>
  </si>
  <si>
    <t>Eerste jaar</t>
  </si>
  <si>
    <t>Percentage</t>
  </si>
  <si>
    <t>Belastingvoordeel of nadeel</t>
  </si>
  <si>
    <t>Voor box 3 wordt het werkelijk rendement als uitgangspunt gehanteerd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</si>
</sst>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 * #,##0_ ;_ * \-#,##0_ ;_ * &quot;-&quot;??_ ;_ @_ "/>
    <numFmt numFmtId="165" formatCode="0.0%"/>
    <numFmt numFmtId="166" formatCode="&quot;€&quot;\ #,##0.00"/>
    <numFmt numFmtId="167" formatCode="_ &quot;€&quot;\ * #,##0_ ;_ &quot;€&quot;\ * \-#,##0_ ;_ &quot;€&quot;\ * &quot;-&quot;??_ ;_ @_ "/>
    <numFmt numFmtId="168" formatCode="_ &quot;€&quot;\ * #,##0.0_ ;_ &quot;€&quot;\ * \-#,##0.0_ ;_ &quot;€&quot;\ * &quot;-&quot;??_ ;_ @_ 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sz val="9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8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08910"/>
        <bgColor indexed="64"/>
      </patternFill>
    </fill>
    <fill>
      <patternFill patternType="solid">
        <fgColor rgb="FF3E6C7B"/>
        <bgColor indexed="64"/>
      </patternFill>
    </fill>
    <fill>
      <patternFill patternType="solid">
        <fgColor theme="3" tint="0.8999908444471571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0">
    <xf numFmtId="0" fontId="0" fillId="0" borderId="0" xfId="0"/>
    <xf numFmtId="9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/>
    </xf>
    <xf numFmtId="0" fontId="6" fillId="0" borderId="0" xfId="0" applyFont="1" applyAlignment="1">
      <alignment horizontal="right"/>
    </xf>
    <xf numFmtId="0" fontId="5" fillId="0" borderId="0" xfId="3" applyFill="1"/>
    <xf numFmtId="0" fontId="4" fillId="0" borderId="0" xfId="0" applyFont="1"/>
    <xf numFmtId="166" fontId="2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3" xfId="0" applyFont="1" applyBorder="1"/>
    <xf numFmtId="167" fontId="8" fillId="3" borderId="3" xfId="1" applyNumberFormat="1" applyFont="1" applyFill="1" applyBorder="1"/>
    <xf numFmtId="0" fontId="0" fillId="0" borderId="0" xfId="0" applyAlignment="1">
      <alignment horizontal="left"/>
    </xf>
    <xf numFmtId="166" fontId="3" fillId="0" borderId="0" xfId="0" applyNumberFormat="1" applyFont="1" applyAlignment="1">
      <alignment horizontal="center"/>
    </xf>
    <xf numFmtId="10" fontId="8" fillId="3" borderId="3" xfId="2" applyNumberFormat="1" applyFont="1" applyFill="1" applyBorder="1"/>
    <xf numFmtId="0" fontId="8" fillId="3" borderId="3" xfId="0" applyFont="1" applyFill="1" applyBorder="1"/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166" fontId="0" fillId="0" borderId="0" xfId="1" applyNumberFormat="1" applyFont="1" applyBorder="1" applyAlignment="1">
      <alignment horizontal="center"/>
    </xf>
    <xf numFmtId="166" fontId="3" fillId="0" borderId="0" xfId="1" applyNumberFormat="1" applyFont="1" applyBorder="1" applyAlignment="1">
      <alignment horizontal="center"/>
    </xf>
    <xf numFmtId="166" fontId="8" fillId="0" borderId="0" xfId="1" applyNumberFormat="1" applyFont="1" applyFill="1" applyBorder="1" applyAlignment="1">
      <alignment horizontal="center"/>
    </xf>
    <xf numFmtId="166" fontId="0" fillId="0" borderId="0" xfId="0" applyNumberFormat="1"/>
    <xf numFmtId="0" fontId="0" fillId="0" borderId="3" xfId="0" applyBorder="1"/>
    <xf numFmtId="1" fontId="0" fillId="0" borderId="0" xfId="0" applyNumberFormat="1"/>
    <xf numFmtId="10" fontId="0" fillId="0" borderId="0" xfId="0" applyNumberFormat="1"/>
    <xf numFmtId="168" fontId="0" fillId="0" borderId="0" xfId="1" applyNumberFormat="1" applyFont="1"/>
    <xf numFmtId="167" fontId="0" fillId="0" borderId="0" xfId="1" applyNumberFormat="1" applyFont="1"/>
    <xf numFmtId="10" fontId="0" fillId="0" borderId="0" xfId="2" applyNumberFormat="1" applyFont="1"/>
    <xf numFmtId="0" fontId="0" fillId="0" borderId="1" xfId="0" applyBorder="1"/>
    <xf numFmtId="0" fontId="0" fillId="0" borderId="2" xfId="0" applyBorder="1"/>
    <xf numFmtId="0" fontId="0" fillId="0" borderId="11" xfId="0" applyBorder="1"/>
    <xf numFmtId="43" fontId="0" fillId="0" borderId="0" xfId="1" applyNumberFormat="1" applyFont="1"/>
    <xf numFmtId="0" fontId="2" fillId="5" borderId="10" xfId="0" applyFont="1" applyFill="1" applyBorder="1"/>
    <xf numFmtId="0" fontId="2" fillId="5" borderId="6" xfId="0" applyFont="1" applyFill="1" applyBorder="1"/>
    <xf numFmtId="0" fontId="2" fillId="5" borderId="11" xfId="0" applyFont="1" applyFill="1" applyBorder="1"/>
    <xf numFmtId="0" fontId="2" fillId="5" borderId="9" xfId="0" applyFont="1" applyFill="1" applyBorder="1"/>
    <xf numFmtId="0" fontId="2" fillId="5" borderId="3" xfId="0" applyFont="1" applyFill="1" applyBorder="1"/>
    <xf numFmtId="164" fontId="0" fillId="0" borderId="11" xfId="1" applyNumberFormat="1" applyFont="1" applyBorder="1"/>
    <xf numFmtId="164" fontId="0" fillId="0" borderId="3" xfId="1" applyNumberFormat="1" applyFont="1" applyBorder="1"/>
    <xf numFmtId="164" fontId="2" fillId="5" borderId="3" xfId="1" applyNumberFormat="1" applyFont="1" applyFill="1" applyBorder="1"/>
    <xf numFmtId="167" fontId="0" fillId="0" borderId="0" xfId="1" applyNumberFormat="1" applyFont="1" applyBorder="1"/>
    <xf numFmtId="0" fontId="0" fillId="0" borderId="15" xfId="0" applyBorder="1"/>
    <xf numFmtId="164" fontId="0" fillId="0" borderId="3" xfId="0" applyNumberFormat="1" applyBorder="1"/>
    <xf numFmtId="0" fontId="3" fillId="0" borderId="0" xfId="0" applyFont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2" fillId="5" borderId="0" xfId="0" applyFont="1" applyFill="1"/>
    <xf numFmtId="0" fontId="2" fillId="0" borderId="0" xfId="0" applyFont="1"/>
    <xf numFmtId="0" fontId="0" fillId="0" borderId="4" xfId="0" applyBorder="1"/>
    <xf numFmtId="0" fontId="0" fillId="0" borderId="5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10" fontId="0" fillId="0" borderId="3" xfId="0" applyNumberFormat="1" applyBorder="1"/>
    <xf numFmtId="10" fontId="0" fillId="0" borderId="0" xfId="0" applyNumberFormat="1" applyAlignment="1">
      <alignment horizontal="right"/>
    </xf>
    <xf numFmtId="0" fontId="2" fillId="5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0" fillId="5" borderId="15" xfId="0" applyFill="1" applyBorder="1"/>
    <xf numFmtId="0" fontId="0" fillId="5" borderId="2" xfId="0" applyFill="1" applyBorder="1"/>
    <xf numFmtId="0" fontId="2" fillId="5" borderId="1" xfId="0" applyFont="1" applyFill="1" applyBorder="1"/>
    <xf numFmtId="0" fontId="0" fillId="6" borderId="3" xfId="0" applyFill="1" applyBorder="1"/>
    <xf numFmtId="10" fontId="0" fillId="6" borderId="3" xfId="0" applyNumberFormat="1" applyFill="1" applyBorder="1" applyAlignment="1">
      <alignment horizontal="right"/>
    </xf>
    <xf numFmtId="0" fontId="0" fillId="6" borderId="3" xfId="0" applyFill="1" applyBorder="1" applyAlignment="1">
      <alignment horizontal="right"/>
    </xf>
    <xf numFmtId="164" fontId="0" fillId="3" borderId="3" xfId="0" applyNumberFormat="1" applyFill="1" applyBorder="1" applyAlignment="1" applyProtection="1">
      <alignment horizontal="right"/>
      <protection locked="0"/>
    </xf>
    <xf numFmtId="165" fontId="0" fillId="3" borderId="3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10" fontId="0" fillId="3" borderId="3" xfId="0" applyNumberFormat="1" applyFill="1" applyBorder="1" applyAlignment="1" applyProtection="1">
      <alignment horizontal="right"/>
      <protection locked="0"/>
    </xf>
    <xf numFmtId="0" fontId="2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15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10" fillId="4" borderId="13" xfId="0" applyFont="1" applyFill="1" applyBorder="1" applyAlignment="1">
      <alignment horizontal="center"/>
    </xf>
    <xf numFmtId="0" fontId="10" fillId="4" borderId="1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5" fillId="0" borderId="0" xfId="3" applyAlignment="1">
      <alignment horizontal="center"/>
    </xf>
    <xf numFmtId="0" fontId="12" fillId="5" borderId="4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center" vertical="center"/>
    </xf>
    <xf numFmtId="0" fontId="12" fillId="5" borderId="7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9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</cellXfs>
  <cellStyles count="4">
    <cellStyle name="Hyperlink" xfId="3" builtinId="8"/>
    <cellStyle name="Procent" xfId="2" builtinId="5"/>
    <cellStyle name="Standaard" xfId="0" builtinId="0"/>
    <cellStyle name="Valuta" xfId="1" builtinId="4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3E6C7B"/>
      <color rgb="FFF08910"/>
      <color rgb="FFFFFF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116498</xdr:rowOff>
    </xdr:from>
    <xdr:to>
      <xdr:col>2</xdr:col>
      <xdr:colOff>672918</xdr:colOff>
      <xdr:row>6</xdr:row>
      <xdr:rowOff>6997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A5727C5-F240-4AE3-A50C-BE4856D6E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06998"/>
          <a:ext cx="2744606" cy="842999"/>
        </a:xfrm>
        <a:prstGeom prst="rect">
          <a:avLst/>
        </a:prstGeom>
      </xdr:spPr>
    </xdr:pic>
    <xdr:clientData/>
  </xdr:twoCellAnchor>
  <xdr:twoCellAnchor editAs="oneCell">
    <xdr:from>
      <xdr:col>2</xdr:col>
      <xdr:colOff>483846</xdr:colOff>
      <xdr:row>0</xdr:row>
      <xdr:rowOff>177362</xdr:rowOff>
    </xdr:from>
    <xdr:to>
      <xdr:col>3</xdr:col>
      <xdr:colOff>592196</xdr:colOff>
      <xdr:row>6</xdr:row>
      <xdr:rowOff>3138</xdr:rowOff>
    </xdr:to>
    <xdr:pic>
      <xdr:nvPicPr>
        <xdr:cNvPr id="3" name="Afbeelding 2" descr="profielafbeelding">
          <a:extLst>
            <a:ext uri="{FF2B5EF4-FFF2-40B4-BE49-F238E27FC236}">
              <a16:creationId xmlns:a16="http://schemas.microsoft.com/office/drawing/2014/main" id="{6A2B7A49-09C0-43CC-BD74-06EA1901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34" y="177362"/>
          <a:ext cx="952462" cy="968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77CB4-F3B1-4BA8-87F3-EF9DD9197CF2}">
  <dimension ref="A1:O52"/>
  <sheetViews>
    <sheetView showGridLines="0" showRowColHeaders="0" tabSelected="1" zoomScale="130" zoomScaleNormal="130" workbookViewId="0">
      <selection activeCell="D23" sqref="D23"/>
    </sheetView>
  </sheetViews>
  <sheetFormatPr defaultRowHeight="15" x14ac:dyDescent="0.25"/>
  <cols>
    <col min="2" max="2" width="22" customWidth="1"/>
    <col min="3" max="9" width="12.7109375" customWidth="1"/>
    <col min="10" max="10" width="10.5703125" customWidth="1"/>
    <col min="12" max="12" width="10.42578125" customWidth="1"/>
    <col min="13" max="13" width="12.5703125" customWidth="1"/>
    <col min="14" max="15" width="10.85546875" customWidth="1"/>
  </cols>
  <sheetData>
    <row r="1" spans="1:13" x14ac:dyDescent="0.25">
      <c r="A1" s="44"/>
      <c r="B1" s="45"/>
      <c r="C1" s="45"/>
      <c r="D1" s="45"/>
      <c r="E1" s="45"/>
      <c r="F1" s="45"/>
      <c r="G1" s="45"/>
      <c r="H1" s="45"/>
      <c r="I1" s="46"/>
    </row>
    <row r="2" spans="1:13" ht="15" customHeight="1" x14ac:dyDescent="0.25">
      <c r="A2" s="47"/>
      <c r="E2" s="73" t="s">
        <v>50</v>
      </c>
      <c r="F2" s="73"/>
      <c r="G2" s="73"/>
      <c r="H2" s="73"/>
      <c r="I2" s="48"/>
    </row>
    <row r="3" spans="1:13" x14ac:dyDescent="0.25">
      <c r="A3" s="47"/>
      <c r="E3" s="73"/>
      <c r="F3" s="73"/>
      <c r="G3" s="73"/>
      <c r="H3" s="73"/>
      <c r="I3" s="48"/>
    </row>
    <row r="4" spans="1:13" x14ac:dyDescent="0.25">
      <c r="A4" s="47"/>
      <c r="E4" s="73"/>
      <c r="F4" s="73"/>
      <c r="G4" s="73"/>
      <c r="H4" s="73"/>
      <c r="I4" s="48"/>
    </row>
    <row r="5" spans="1:13" x14ac:dyDescent="0.25">
      <c r="A5" s="47"/>
      <c r="E5" s="74" t="s">
        <v>51</v>
      </c>
      <c r="F5" s="74"/>
      <c r="G5" s="74"/>
      <c r="H5" s="74"/>
      <c r="I5" s="48"/>
    </row>
    <row r="6" spans="1:13" x14ac:dyDescent="0.25">
      <c r="A6" s="47"/>
      <c r="E6" s="74" t="s">
        <v>52</v>
      </c>
      <c r="F6" s="74"/>
      <c r="G6" s="74"/>
      <c r="H6" s="74"/>
      <c r="I6" s="48"/>
    </row>
    <row r="7" spans="1:13" x14ac:dyDescent="0.25">
      <c r="A7" s="47"/>
      <c r="F7" s="50"/>
      <c r="G7" s="50"/>
      <c r="H7" s="50"/>
      <c r="I7" s="48"/>
    </row>
    <row r="8" spans="1:13" x14ac:dyDescent="0.25">
      <c r="A8" s="47"/>
      <c r="B8" s="51" t="s">
        <v>53</v>
      </c>
      <c r="C8" s="52"/>
      <c r="D8" s="52"/>
      <c r="E8" s="52"/>
      <c r="F8" s="52"/>
      <c r="G8" s="52"/>
      <c r="H8" s="52"/>
      <c r="I8" s="53"/>
    </row>
    <row r="9" spans="1:13" x14ac:dyDescent="0.25">
      <c r="A9" s="47"/>
      <c r="B9" s="54" t="s">
        <v>54</v>
      </c>
      <c r="I9" s="48"/>
    </row>
    <row r="10" spans="1:13" ht="15.75" thickBot="1" x14ac:dyDescent="0.3">
      <c r="A10" s="55"/>
      <c r="B10" s="56" t="s">
        <v>55</v>
      </c>
      <c r="C10" s="57"/>
      <c r="D10" s="57"/>
      <c r="E10" s="57"/>
      <c r="F10" s="57"/>
      <c r="G10" s="57"/>
      <c r="H10" s="57"/>
      <c r="I10" s="58"/>
    </row>
    <row r="12" spans="1:13" x14ac:dyDescent="0.25">
      <c r="B12" t="s">
        <v>71</v>
      </c>
    </row>
    <row r="14" spans="1:13" ht="21" x14ac:dyDescent="0.35">
      <c r="H14" s="78" t="s">
        <v>43</v>
      </c>
      <c r="I14" s="79"/>
      <c r="J14" s="79"/>
      <c r="K14" s="79"/>
      <c r="L14" s="79"/>
      <c r="M14" s="80"/>
    </row>
    <row r="15" spans="1:13" x14ac:dyDescent="0.25">
      <c r="B15" s="43" t="s">
        <v>61</v>
      </c>
      <c r="H15" s="65" t="s">
        <v>70</v>
      </c>
      <c r="I15" s="63"/>
      <c r="J15" s="63"/>
      <c r="K15" s="64"/>
      <c r="L15" s="49" t="s">
        <v>0</v>
      </c>
      <c r="M15" s="49" t="s">
        <v>69</v>
      </c>
    </row>
    <row r="16" spans="1:13" x14ac:dyDescent="0.25">
      <c r="H16" s="28" t="s">
        <v>40</v>
      </c>
      <c r="I16" s="41"/>
      <c r="J16" s="41"/>
      <c r="K16" s="29"/>
      <c r="L16" s="42">
        <f>-F35</f>
        <v>134683.45493281755</v>
      </c>
      <c r="M16" s="59">
        <f>C25</f>
        <v>0.37480000000000002</v>
      </c>
    </row>
    <row r="17" spans="2:13" x14ac:dyDescent="0.25">
      <c r="B17" s="66" t="s">
        <v>0</v>
      </c>
      <c r="C17" s="69">
        <v>500000</v>
      </c>
      <c r="D17" s="2" t="s">
        <v>62</v>
      </c>
      <c r="H17" s="28" t="s">
        <v>41</v>
      </c>
      <c r="I17" s="41"/>
      <c r="J17" s="41"/>
      <c r="K17" s="29"/>
      <c r="L17" s="42">
        <f>D50</f>
        <v>-129365.11146161769</v>
      </c>
      <c r="M17" s="59">
        <f>C26</f>
        <v>0.36</v>
      </c>
    </row>
    <row r="18" spans="2:13" x14ac:dyDescent="0.25">
      <c r="B18" s="66" t="s">
        <v>1</v>
      </c>
      <c r="C18" s="70">
        <v>0.04</v>
      </c>
      <c r="D18" s="2" t="s">
        <v>62</v>
      </c>
      <c r="H18" s="28" t="s">
        <v>42</v>
      </c>
      <c r="I18" s="41"/>
      <c r="J18" s="41"/>
      <c r="K18" s="29"/>
      <c r="L18" s="42">
        <f>H50</f>
        <v>-139588.54874240389</v>
      </c>
      <c r="M18" s="59">
        <f>C23</f>
        <v>0.38845000000000002</v>
      </c>
    </row>
    <row r="19" spans="2:13" x14ac:dyDescent="0.25">
      <c r="B19" s="66" t="s">
        <v>2</v>
      </c>
      <c r="C19" s="71" t="s">
        <v>3</v>
      </c>
      <c r="D19" s="2" t="s">
        <v>63</v>
      </c>
    </row>
    <row r="20" spans="2:13" x14ac:dyDescent="0.25">
      <c r="B20" s="66" t="s">
        <v>56</v>
      </c>
      <c r="C20" s="72">
        <v>0.19</v>
      </c>
      <c r="D20" s="24" t="s">
        <v>64</v>
      </c>
    </row>
    <row r="21" spans="2:13" x14ac:dyDescent="0.25">
      <c r="B21" s="66" t="s">
        <v>57</v>
      </c>
      <c r="C21" s="72">
        <v>0.245</v>
      </c>
      <c r="D21" s="24" t="s">
        <v>65</v>
      </c>
    </row>
    <row r="22" spans="2:13" x14ac:dyDescent="0.25">
      <c r="B22" s="66" t="s">
        <v>58</v>
      </c>
      <c r="C22" s="72" t="s">
        <v>59</v>
      </c>
      <c r="D22" s="24" t="s">
        <v>66</v>
      </c>
    </row>
    <row r="23" spans="2:13" x14ac:dyDescent="0.25">
      <c r="B23" s="66" t="s">
        <v>35</v>
      </c>
      <c r="C23" s="67">
        <f>IF(C22="nee",C20,(C20+(1-C20)*C21))</f>
        <v>0.38845000000000002</v>
      </c>
      <c r="D23" s="24"/>
      <c r="E23" s="24"/>
    </row>
    <row r="24" spans="2:13" x14ac:dyDescent="0.25">
      <c r="B24" s="66" t="s">
        <v>5</v>
      </c>
      <c r="C24" s="68">
        <v>30</v>
      </c>
      <c r="D24" t="s">
        <v>6</v>
      </c>
      <c r="E24" s="24"/>
      <c r="H24" s="24"/>
    </row>
    <row r="25" spans="2:13" x14ac:dyDescent="0.25">
      <c r="B25" s="66" t="s">
        <v>25</v>
      </c>
      <c r="C25" s="67">
        <v>0.37480000000000002</v>
      </c>
      <c r="D25" s="24"/>
      <c r="H25" s="24"/>
    </row>
    <row r="26" spans="2:13" x14ac:dyDescent="0.25">
      <c r="B26" s="66" t="s">
        <v>31</v>
      </c>
      <c r="C26" s="67">
        <v>0.36</v>
      </c>
      <c r="D26" s="24"/>
      <c r="H26" s="24"/>
    </row>
    <row r="28" spans="2:13" ht="15.75" thickBot="1" x14ac:dyDescent="0.3">
      <c r="C28" s="60"/>
      <c r="D28" s="24"/>
    </row>
    <row r="29" spans="2:13" ht="24.75" thickBot="1" x14ac:dyDescent="0.45">
      <c r="B29" s="81" t="s">
        <v>36</v>
      </c>
      <c r="C29" s="82"/>
      <c r="D29" s="82"/>
      <c r="E29" s="82"/>
      <c r="F29" s="83"/>
    </row>
    <row r="31" spans="2:13" x14ac:dyDescent="0.25">
      <c r="B31" s="32"/>
      <c r="C31" s="33" t="s">
        <v>20</v>
      </c>
      <c r="E31" s="33" t="s">
        <v>33</v>
      </c>
      <c r="F31" s="33" t="s">
        <v>1</v>
      </c>
      <c r="H31" s="33" t="s">
        <v>23</v>
      </c>
    </row>
    <row r="32" spans="2:13" x14ac:dyDescent="0.25">
      <c r="B32" s="34"/>
      <c r="C32" s="35" t="s">
        <v>21</v>
      </c>
      <c r="E32" s="35" t="s">
        <v>1</v>
      </c>
      <c r="F32" s="35" t="s">
        <v>22</v>
      </c>
      <c r="H32" s="35" t="s">
        <v>26</v>
      </c>
    </row>
    <row r="33" spans="2:15" x14ac:dyDescent="0.25">
      <c r="B33" s="30" t="s">
        <v>67</v>
      </c>
      <c r="C33" s="37">
        <f>IF(C19="Lineair",Blad3!C14,Blad3!K14)</f>
        <v>2387.0764773272977</v>
      </c>
      <c r="E33" s="38">
        <f>IF($C$19="Lineair",Blad3!D14,Blad3!L14)</f>
        <v>1666.6666666666667</v>
      </c>
      <c r="F33" s="38">
        <f>E33*-C25</f>
        <v>-624.66666666666674</v>
      </c>
      <c r="H33" s="38">
        <f>C33+F33</f>
        <v>1762.4098106606309</v>
      </c>
      <c r="O33" s="31"/>
    </row>
    <row r="34" spans="2:15" x14ac:dyDescent="0.25">
      <c r="B34" s="22" t="s">
        <v>68</v>
      </c>
      <c r="C34" s="38">
        <f>IF(C19="Lineair",Blad3!C15,Blad3!K15)</f>
        <v>28644.917727927575</v>
      </c>
      <c r="E34" s="38">
        <f>IF($C$19="Lineair",Blad3!D15,Blad3!L15)</f>
        <v>19839.735561667283</v>
      </c>
      <c r="F34" s="38">
        <f>E34*-C25</f>
        <v>-7435.932888512898</v>
      </c>
      <c r="H34" s="38">
        <f>C34+F34</f>
        <v>21208.984839414676</v>
      </c>
      <c r="O34" s="31"/>
    </row>
    <row r="35" spans="2:15" x14ac:dyDescent="0.25">
      <c r="B35" s="22" t="s">
        <v>19</v>
      </c>
      <c r="C35" s="38">
        <f>IF(C19="Lineair",Blad3!C16,Blad3!K16)</f>
        <v>859347.53183782601</v>
      </c>
      <c r="E35" s="38">
        <f>IF($C$19="Lineair",Blad3!D16,Blad3!L16)</f>
        <v>359347.53183782694</v>
      </c>
      <c r="F35" s="38">
        <f>E35*-C25</f>
        <v>-134683.45493281755</v>
      </c>
      <c r="H35" s="38">
        <f>C35+F35</f>
        <v>724664.07690500841</v>
      </c>
      <c r="O35" s="31"/>
    </row>
    <row r="36" spans="2:15" x14ac:dyDescent="0.25">
      <c r="C36" s="31"/>
      <c r="E36" s="31"/>
      <c r="F36" s="31"/>
      <c r="H36" s="31"/>
      <c r="O36" s="31"/>
    </row>
    <row r="37" spans="2:15" x14ac:dyDescent="0.25">
      <c r="B37" s="36" t="s">
        <v>27</v>
      </c>
      <c r="C37" s="39">
        <f>C35/360</f>
        <v>2387.0764773272945</v>
      </c>
      <c r="E37" s="39">
        <f>E35/360</f>
        <v>998.18758843840817</v>
      </c>
      <c r="F37" s="39">
        <f>F35/360</f>
        <v>-374.1207081467154</v>
      </c>
      <c r="H37" s="39">
        <f>H35/360</f>
        <v>2012.955769180579</v>
      </c>
      <c r="O37" s="31"/>
    </row>
    <row r="38" spans="2:15" x14ac:dyDescent="0.25"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</row>
    <row r="39" spans="2:15" x14ac:dyDescent="0.25"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</row>
    <row r="40" spans="2:15" ht="15.75" thickBot="1" x14ac:dyDescent="0.3"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</row>
    <row r="41" spans="2:15" ht="24.75" thickBot="1" x14ac:dyDescent="0.45">
      <c r="B41" s="81" t="s">
        <v>37</v>
      </c>
      <c r="C41" s="82"/>
      <c r="D41" s="82"/>
      <c r="E41" s="82"/>
      <c r="F41" s="83"/>
      <c r="G41" s="26"/>
      <c r="H41" s="26"/>
      <c r="I41" s="26"/>
      <c r="J41" s="26"/>
      <c r="K41" s="26"/>
      <c r="L41" s="26"/>
      <c r="M41" s="26"/>
      <c r="N41" s="26"/>
      <c r="O41" s="26"/>
    </row>
    <row r="42" spans="2:15" x14ac:dyDescent="0.25"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</row>
    <row r="43" spans="2:15" x14ac:dyDescent="0.25">
      <c r="C43" s="40"/>
      <c r="D43" s="40"/>
      <c r="E43" s="40"/>
      <c r="F43" s="40"/>
      <c r="G43" s="40"/>
      <c r="H43" s="40"/>
      <c r="I43" s="26"/>
      <c r="J43" s="26"/>
      <c r="K43" s="26"/>
      <c r="L43" s="26"/>
      <c r="M43" s="26"/>
      <c r="N43" s="26"/>
      <c r="O43" s="26"/>
    </row>
    <row r="44" spans="2:15" x14ac:dyDescent="0.25">
      <c r="C44" s="75" t="s">
        <v>38</v>
      </c>
      <c r="D44" s="76"/>
      <c r="E44" s="77"/>
      <c r="G44" s="75" t="s">
        <v>39</v>
      </c>
      <c r="H44" s="76"/>
      <c r="I44" s="77"/>
      <c r="J44" s="26"/>
      <c r="K44" s="26"/>
      <c r="L44" s="26"/>
      <c r="M44" s="26"/>
      <c r="N44" s="26"/>
      <c r="O44" s="26"/>
    </row>
    <row r="46" spans="2:15" x14ac:dyDescent="0.25">
      <c r="B46" s="32"/>
      <c r="C46" s="33" t="s">
        <v>28</v>
      </c>
      <c r="D46" s="33" t="s">
        <v>29</v>
      </c>
      <c r="E46" s="33" t="s">
        <v>23</v>
      </c>
      <c r="G46" s="32" t="s">
        <v>28</v>
      </c>
      <c r="H46" s="33" t="s">
        <v>34</v>
      </c>
      <c r="I46" s="33" t="s">
        <v>23</v>
      </c>
    </row>
    <row r="47" spans="2:15" x14ac:dyDescent="0.25">
      <c r="B47" s="34"/>
      <c r="C47" s="35" t="s">
        <v>1</v>
      </c>
      <c r="D47" s="35" t="s">
        <v>30</v>
      </c>
      <c r="E47" s="35" t="s">
        <v>32</v>
      </c>
      <c r="G47" s="34" t="s">
        <v>1</v>
      </c>
      <c r="H47" s="35" t="s">
        <v>30</v>
      </c>
      <c r="I47" s="35" t="s">
        <v>32</v>
      </c>
    </row>
    <row r="48" spans="2:15" x14ac:dyDescent="0.25">
      <c r="B48" s="30" t="s">
        <v>67</v>
      </c>
      <c r="C48" s="37">
        <f>IF($C$19="Lineair",Blad3!D14,Blad3!L14)</f>
        <v>1666.6666666666667</v>
      </c>
      <c r="D48" s="38">
        <f>C48*-$C$26</f>
        <v>-600</v>
      </c>
      <c r="E48" s="38">
        <f>C48+D48</f>
        <v>1066.6666666666667</v>
      </c>
      <c r="G48" s="37">
        <f>C48</f>
        <v>1666.6666666666667</v>
      </c>
      <c r="H48" s="38">
        <f>G48*-C$23</f>
        <v>-647.41666666666674</v>
      </c>
      <c r="I48" s="38">
        <f>G48+H48</f>
        <v>1019.25</v>
      </c>
    </row>
    <row r="49" spans="2:9" x14ac:dyDescent="0.25">
      <c r="B49" s="22" t="s">
        <v>68</v>
      </c>
      <c r="C49" s="38">
        <f>IF($C$19="Lineair",Blad3!D15,Blad3!L15)</f>
        <v>19839.735561667283</v>
      </c>
      <c r="D49" s="38">
        <f>C49*-$C$26</f>
        <v>-7142.3048022002213</v>
      </c>
      <c r="E49" s="38">
        <f>C49+D49</f>
        <v>12697.430759467061</v>
      </c>
      <c r="G49" s="38">
        <f>C49</f>
        <v>19839.735561667283</v>
      </c>
      <c r="H49" s="38">
        <f>G49*-$C$23</f>
        <v>-7706.7452789296567</v>
      </c>
      <c r="I49" s="38">
        <f t="shared" ref="I49:I52" si="0">G49+H49</f>
        <v>12132.990282737626</v>
      </c>
    </row>
    <row r="50" spans="2:9" x14ac:dyDescent="0.25">
      <c r="B50" s="22" t="s">
        <v>19</v>
      </c>
      <c r="C50" s="38">
        <f>IF($C$19="Lineair",Blad3!D16,Blad3!L16)</f>
        <v>359347.53183782694</v>
      </c>
      <c r="D50" s="38">
        <f>C50*-$C$26</f>
        <v>-129365.11146161769</v>
      </c>
      <c r="E50" s="38">
        <f>C50+D50</f>
        <v>229982.42037620925</v>
      </c>
      <c r="G50" s="38">
        <f>C50</f>
        <v>359347.53183782694</v>
      </c>
      <c r="H50" s="38">
        <f>G50*-$C$23</f>
        <v>-139588.54874240389</v>
      </c>
      <c r="I50" s="38">
        <f t="shared" si="0"/>
        <v>219758.98309542306</v>
      </c>
    </row>
    <row r="51" spans="2:9" x14ac:dyDescent="0.25">
      <c r="C51" s="31"/>
      <c r="D51" s="31"/>
      <c r="E51" s="31"/>
      <c r="G51" s="31"/>
      <c r="H51" s="31"/>
      <c r="I51" s="31"/>
    </row>
    <row r="52" spans="2:9" x14ac:dyDescent="0.25">
      <c r="B52" s="36" t="s">
        <v>27</v>
      </c>
      <c r="C52" s="39">
        <f>C50/360</f>
        <v>998.18758843840817</v>
      </c>
      <c r="D52" s="39">
        <f>D50/360</f>
        <v>-359.34753183782692</v>
      </c>
      <c r="E52" s="39">
        <f>E50/360</f>
        <v>638.84005660058131</v>
      </c>
      <c r="G52" s="39">
        <f>G50/360</f>
        <v>998.18758843840817</v>
      </c>
      <c r="H52" s="39">
        <f>H50/360</f>
        <v>-387.7459687288997</v>
      </c>
      <c r="I52" s="39">
        <f t="shared" si="0"/>
        <v>610.44161970950847</v>
      </c>
    </row>
  </sheetData>
  <sheetProtection algorithmName="SHA-512" hashValue="TiQBd8mUdIpZAtviqfU69+be9R2RCbZW1K/6rCu8e8mE5XDM9tgMDunp2LYSwhteY4dcJ/nkmr5cVOyPeQgSjA==" saltValue="9wPNRTJ1R7dsXGeYB1H9qA==" spinCount="100000" sheet="1" objects="1" scenarios="1"/>
  <mergeCells count="8">
    <mergeCell ref="E2:H4"/>
    <mergeCell ref="E5:H5"/>
    <mergeCell ref="E6:H6"/>
    <mergeCell ref="C44:E44"/>
    <mergeCell ref="H14:M14"/>
    <mergeCell ref="B29:F29"/>
    <mergeCell ref="B41:F41"/>
    <mergeCell ref="G44:I44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871BD4C3-F9C3-4BC4-BC8A-3D5C7D830A69}">
          <x14:formula1>
            <xm:f>Blad3!$A$1:$A$2</xm:f>
          </x14:formula1>
          <xm:sqref>C19</xm:sqref>
        </x14:dataValidation>
        <x14:dataValidation type="list" allowBlank="1" showInputMessage="1" showErrorMessage="1" xr:uid="{F47E08AA-8233-40E5-97BF-F5B2FCBD7C9E}">
          <x14:formula1>
            <xm:f>Blad3!$C$40:$C$41</xm:f>
          </x14:formula1>
          <xm:sqref>C20</xm:sqref>
        </x14:dataValidation>
        <x14:dataValidation type="list" allowBlank="1" showInputMessage="1" showErrorMessage="1" xr:uid="{909EF0E6-06D6-4488-AC5C-67AECB235832}">
          <x14:formula1>
            <xm:f>Blad3!$C$43:$C$44</xm:f>
          </x14:formula1>
          <xm:sqref>C21</xm:sqref>
        </x14:dataValidation>
        <x14:dataValidation type="list" allowBlank="1" showInputMessage="1" showErrorMessage="1" xr:uid="{1729C6B8-E0C6-422E-99E2-E365212E988D}">
          <x14:formula1>
            <xm:f>Blad3!$C$51:$C$52</xm:f>
          </x14:formula1>
          <xm:sqref>C22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6AF20-BF7A-4373-A06A-AEC58B22CB70}">
  <dimension ref="A1:P610"/>
  <sheetViews>
    <sheetView showGridLines="0" showRowColHeaders="0" zoomScale="115" zoomScaleNormal="115" workbookViewId="0">
      <selection activeCell="A15" sqref="A15 C15:D15"/>
    </sheetView>
  </sheetViews>
  <sheetFormatPr defaultColWidth="9.28515625" defaultRowHeight="15" x14ac:dyDescent="0.25"/>
  <cols>
    <col min="1" max="1" width="9.7109375" customWidth="1"/>
    <col min="2" max="2" width="16.28515625" style="3" customWidth="1"/>
    <col min="3" max="3" width="17.7109375" style="3" customWidth="1"/>
    <col min="4" max="4" width="20.7109375" style="3" customWidth="1"/>
    <col min="5" max="5" width="15.42578125" customWidth="1"/>
    <col min="6" max="6" width="20.7109375" style="3" customWidth="1"/>
    <col min="7" max="7" width="11.7109375" style="9" customWidth="1"/>
    <col min="8" max="8" width="9.7109375" customWidth="1"/>
    <col min="9" max="9" width="16.28515625" style="3" customWidth="1"/>
    <col min="10" max="10" width="17.7109375" style="3" customWidth="1"/>
    <col min="11" max="11" width="20.7109375" style="3" customWidth="1"/>
    <col min="12" max="12" width="15.42578125" customWidth="1"/>
    <col min="13" max="13" width="20.7109375" style="3" customWidth="1"/>
    <col min="16" max="16" width="11.5703125" bestFit="1" customWidth="1"/>
  </cols>
  <sheetData>
    <row r="1" spans="1:16" x14ac:dyDescent="0.25">
      <c r="F1"/>
      <c r="G1"/>
      <c r="I1" s="4"/>
      <c r="J1" s="5"/>
      <c r="M1"/>
    </row>
    <row r="2" spans="1:16" x14ac:dyDescent="0.25">
      <c r="C2" s="6"/>
      <c r="D2" s="7"/>
      <c r="F2" s="84" t="s">
        <v>7</v>
      </c>
      <c r="G2" s="85"/>
      <c r="I2" s="8"/>
      <c r="J2" s="6"/>
      <c r="K2" s="7"/>
      <c r="M2"/>
    </row>
    <row r="3" spans="1:16" x14ac:dyDescent="0.25">
      <c r="B3" s="86"/>
      <c r="C3" s="86"/>
      <c r="D3" s="86"/>
      <c r="F3" s="10" t="s">
        <v>8</v>
      </c>
      <c r="G3" s="11">
        <f>Samenvatting!C17</f>
        <v>500000</v>
      </c>
      <c r="I3" s="12"/>
      <c r="J3"/>
      <c r="K3" s="13"/>
      <c r="M3"/>
    </row>
    <row r="4" spans="1:16" x14ac:dyDescent="0.25">
      <c r="B4" s="86"/>
      <c r="C4" s="86"/>
      <c r="D4" s="86"/>
      <c r="F4" s="10" t="s">
        <v>9</v>
      </c>
      <c r="G4" s="14">
        <f>Samenvatting!C18</f>
        <v>0.04</v>
      </c>
      <c r="I4" s="12"/>
      <c r="J4"/>
      <c r="K4" s="13"/>
      <c r="M4"/>
    </row>
    <row r="5" spans="1:16" x14ac:dyDescent="0.25">
      <c r="D5"/>
      <c r="F5" s="10" t="s">
        <v>10</v>
      </c>
      <c r="G5" s="15">
        <v>360</v>
      </c>
      <c r="K5"/>
      <c r="M5"/>
    </row>
    <row r="6" spans="1:16" x14ac:dyDescent="0.25">
      <c r="C6"/>
      <c r="D6"/>
      <c r="J6"/>
      <c r="K6"/>
      <c r="M6" s="87"/>
      <c r="N6" s="87"/>
    </row>
    <row r="8" spans="1:16" ht="16.5" customHeight="1" x14ac:dyDescent="0.25">
      <c r="A8" s="88" t="str">
        <f>"Lineaire hypotheek - totale som:  € "&amp;FIXED(SUMIF(B11:B610,"&gt;=0",F11:F610))</f>
        <v>Lineaire hypotheek - totale som:  € 800.833,33</v>
      </c>
      <c r="B8" s="89"/>
      <c r="C8" s="89"/>
      <c r="D8" s="89"/>
      <c r="E8" s="89"/>
      <c r="F8" s="90"/>
      <c r="G8" s="16"/>
      <c r="H8" s="94" t="str">
        <f>"Annuïteiten hypotheek - totale som:  € "&amp;FIXED(SUMIF(I11:I610,"&gt;=0",M11:M610))</f>
        <v>Annuïteiten hypotheek - totale som:  € 859.347,53</v>
      </c>
      <c r="I8" s="95"/>
      <c r="J8" s="95"/>
      <c r="K8" s="95"/>
      <c r="L8" s="95"/>
      <c r="M8" s="96"/>
    </row>
    <row r="9" spans="1:16" ht="16.5" customHeight="1" x14ac:dyDescent="0.25">
      <c r="A9" s="91"/>
      <c r="B9" s="92"/>
      <c r="C9" s="92"/>
      <c r="D9" s="92"/>
      <c r="E9" s="92"/>
      <c r="F9" s="93"/>
      <c r="G9" s="16"/>
      <c r="H9" s="97"/>
      <c r="I9" s="98"/>
      <c r="J9" s="98"/>
      <c r="K9" s="98"/>
      <c r="L9" s="98"/>
      <c r="M9" s="99"/>
    </row>
    <row r="10" spans="1:16" x14ac:dyDescent="0.25">
      <c r="A10" s="61" t="s">
        <v>11</v>
      </c>
      <c r="B10" s="61" t="s">
        <v>12</v>
      </c>
      <c r="C10" s="61" t="s">
        <v>13</v>
      </c>
      <c r="D10" s="61" t="s">
        <v>14</v>
      </c>
      <c r="E10" s="61" t="s">
        <v>15</v>
      </c>
      <c r="F10" s="61" t="s">
        <v>16</v>
      </c>
      <c r="G10" s="17"/>
      <c r="H10" s="62" t="s">
        <v>11</v>
      </c>
      <c r="I10" s="62" t="s">
        <v>12</v>
      </c>
      <c r="J10" s="62" t="s">
        <v>13</v>
      </c>
      <c r="K10" s="62" t="s">
        <v>14</v>
      </c>
      <c r="L10" s="62" t="s">
        <v>15</v>
      </c>
      <c r="M10" s="62" t="s">
        <v>16</v>
      </c>
    </row>
    <row r="11" spans="1:16" x14ac:dyDescent="0.25">
      <c r="A11" s="3">
        <f>IF(B11&lt;&gt;"",1,"")</f>
        <v>1</v>
      </c>
      <c r="B11" s="18">
        <f>G3</f>
        <v>500000</v>
      </c>
      <c r="C11" s="18">
        <f>IFERROR(B11*$G$4/12,"")</f>
        <v>1666.6666666666667</v>
      </c>
      <c r="D11" s="18">
        <f>IF(A11&lt;&gt;"",$G$3/$G$5,"")</f>
        <v>1388.8888888888889</v>
      </c>
      <c r="E11" s="18">
        <f>IF(A11&lt;&gt;"",B11-D11,"")</f>
        <v>498611.11111111112</v>
      </c>
      <c r="F11" s="19">
        <f>IF(A11&lt;&gt;"",C11+D11,"")</f>
        <v>3055.5555555555557</v>
      </c>
      <c r="G11" s="20"/>
      <c r="H11" s="3">
        <f>A11</f>
        <v>1</v>
      </c>
      <c r="I11" s="18">
        <f>G3</f>
        <v>500000</v>
      </c>
      <c r="J11" s="18">
        <f>IFERROR(I11*$G$4/12,"")</f>
        <v>1666.6666666666667</v>
      </c>
      <c r="K11" s="18">
        <f>IFERROR(M11-J11,"")</f>
        <v>720.40981066063091</v>
      </c>
      <c r="L11" s="18">
        <f>IFERROR(I11-K11,"")</f>
        <v>499279.59018933936</v>
      </c>
      <c r="M11" s="19">
        <f>IF(H11&lt;&gt;"",-PMT($G$4/12,$G$5,$G$3),"")</f>
        <v>2387.0764773272977</v>
      </c>
      <c r="P11" s="21"/>
    </row>
    <row r="12" spans="1:16" x14ac:dyDescent="0.25">
      <c r="A12" s="3">
        <f>IF(B12&lt;&gt;"",2,"")</f>
        <v>2</v>
      </c>
      <c r="B12" s="18">
        <f>IFERROR(IF(B11-D11&gt;=0.01,B11-D11,""),"")</f>
        <v>498611.11111111112</v>
      </c>
      <c r="C12" s="18">
        <f t="shared" ref="C12:C75" si="0">IFERROR(B12*$G$4/12,"")</f>
        <v>1662.0370370370372</v>
      </c>
      <c r="D12" s="18">
        <f t="shared" ref="D12:D75" si="1">IF(A12&lt;&gt;"",$G$3/$G$5,"")</f>
        <v>1388.8888888888889</v>
      </c>
      <c r="E12" s="18">
        <f t="shared" ref="E12:E75" si="2">IF(A12&lt;&gt;"",B12-D12,"")</f>
        <v>497222.22222222225</v>
      </c>
      <c r="F12" s="19">
        <f t="shared" ref="F12:F75" si="3">IF(A12&lt;&gt;"",C12+D12,"")</f>
        <v>3050.9259259259261</v>
      </c>
      <c r="G12" s="20"/>
      <c r="H12" s="3">
        <f t="shared" ref="H12:H75" si="4">A12</f>
        <v>2</v>
      </c>
      <c r="I12" s="18">
        <f>IFERROR(IF(I11-K11&gt;=0.01,I11-K11,""),"")</f>
        <v>499279.59018933936</v>
      </c>
      <c r="J12" s="18">
        <f t="shared" ref="J12:J75" si="5">IFERROR(I12*$G$4/12,"")</f>
        <v>1664.2653006311311</v>
      </c>
      <c r="K12" s="18">
        <f t="shared" ref="K12:K75" si="6">IFERROR(M12-J12,"")</f>
        <v>722.81117669616651</v>
      </c>
      <c r="L12" s="18">
        <f t="shared" ref="L12:L75" si="7">IFERROR(I12-K12,"")</f>
        <v>498556.77901264321</v>
      </c>
      <c r="M12" s="19">
        <f t="shared" ref="M12:M75" si="8">IF(H12&lt;&gt;"",-PMT($G$4/12,$G$5,$G$3),"")</f>
        <v>2387.0764773272977</v>
      </c>
    </row>
    <row r="13" spans="1:16" x14ac:dyDescent="0.25">
      <c r="A13" s="3">
        <f>IF(B13&lt;&gt;"",3,"")</f>
        <v>3</v>
      </c>
      <c r="B13" s="18">
        <f t="shared" ref="B13:B76" si="9">IFERROR(IF(B12-D12&gt;=0.01,B12-D12,""),"")</f>
        <v>497222.22222222225</v>
      </c>
      <c r="C13" s="18">
        <f t="shared" si="0"/>
        <v>1657.4074074074076</v>
      </c>
      <c r="D13" s="18">
        <f t="shared" si="1"/>
        <v>1388.8888888888889</v>
      </c>
      <c r="E13" s="18">
        <f t="shared" si="2"/>
        <v>495833.33333333337</v>
      </c>
      <c r="F13" s="19">
        <f t="shared" si="3"/>
        <v>3046.2962962962965</v>
      </c>
      <c r="G13" s="20"/>
      <c r="H13" s="3">
        <f t="shared" si="4"/>
        <v>3</v>
      </c>
      <c r="I13" s="18">
        <f t="shared" ref="I13:I76" si="10">IFERROR(IF(I12-K12&gt;=0.01,I12-K12,""),"")</f>
        <v>498556.77901264321</v>
      </c>
      <c r="J13" s="18">
        <f t="shared" si="5"/>
        <v>1661.8559300421441</v>
      </c>
      <c r="K13" s="18">
        <f t="shared" si="6"/>
        <v>725.22054728515354</v>
      </c>
      <c r="L13" s="18">
        <f t="shared" si="7"/>
        <v>497831.55846535804</v>
      </c>
      <c r="M13" s="19">
        <f t="shared" si="8"/>
        <v>2387.0764773272977</v>
      </c>
    </row>
    <row r="14" spans="1:16" x14ac:dyDescent="0.25">
      <c r="A14" s="3">
        <f>IF(B14&lt;&gt;"",4,"")</f>
        <v>4</v>
      </c>
      <c r="B14" s="18">
        <f t="shared" si="9"/>
        <v>495833.33333333337</v>
      </c>
      <c r="C14" s="18">
        <f t="shared" si="0"/>
        <v>1652.7777777777781</v>
      </c>
      <c r="D14" s="18">
        <f t="shared" si="1"/>
        <v>1388.8888888888889</v>
      </c>
      <c r="E14" s="18">
        <f t="shared" si="2"/>
        <v>494444.4444444445</v>
      </c>
      <c r="F14" s="19">
        <f t="shared" si="3"/>
        <v>3041.666666666667</v>
      </c>
      <c r="G14" s="20"/>
      <c r="H14" s="3">
        <f t="shared" si="4"/>
        <v>4</v>
      </c>
      <c r="I14" s="18">
        <f t="shared" si="10"/>
        <v>497831.55846535804</v>
      </c>
      <c r="J14" s="18">
        <f t="shared" si="5"/>
        <v>1659.43852821786</v>
      </c>
      <c r="K14" s="18">
        <f t="shared" si="6"/>
        <v>727.63794910943761</v>
      </c>
      <c r="L14" s="18">
        <f t="shared" si="7"/>
        <v>497103.92051624862</v>
      </c>
      <c r="M14" s="19">
        <f t="shared" si="8"/>
        <v>2387.0764773272977</v>
      </c>
    </row>
    <row r="15" spans="1:16" x14ac:dyDescent="0.25">
      <c r="A15" s="3">
        <f>IF(B15&lt;&gt;"",5,"")</f>
        <v>5</v>
      </c>
      <c r="B15" s="18">
        <f t="shared" si="9"/>
        <v>494444.4444444445</v>
      </c>
      <c r="C15" s="18">
        <f t="shared" si="0"/>
        <v>1648.1481481481485</v>
      </c>
      <c r="D15" s="18">
        <f t="shared" si="1"/>
        <v>1388.8888888888889</v>
      </c>
      <c r="E15" s="18">
        <f t="shared" si="2"/>
        <v>493055.55555555562</v>
      </c>
      <c r="F15" s="19">
        <f t="shared" si="3"/>
        <v>3037.0370370370374</v>
      </c>
      <c r="G15" s="20"/>
      <c r="H15" s="3">
        <f t="shared" si="4"/>
        <v>5</v>
      </c>
      <c r="I15" s="18">
        <f t="shared" si="10"/>
        <v>497103.92051624862</v>
      </c>
      <c r="J15" s="18">
        <f t="shared" si="5"/>
        <v>1657.0130683874957</v>
      </c>
      <c r="K15" s="18">
        <f t="shared" si="6"/>
        <v>730.063408939802</v>
      </c>
      <c r="L15" s="18">
        <f t="shared" si="7"/>
        <v>496373.85710730881</v>
      </c>
      <c r="M15" s="19">
        <f t="shared" si="8"/>
        <v>2387.0764773272977</v>
      </c>
    </row>
    <row r="16" spans="1:16" x14ac:dyDescent="0.25">
      <c r="A16" s="3">
        <f>IF(B16&lt;&gt;"",6,"")</f>
        <v>6</v>
      </c>
      <c r="B16" s="18">
        <f t="shared" si="9"/>
        <v>493055.55555555562</v>
      </c>
      <c r="C16" s="18">
        <f t="shared" si="0"/>
        <v>1643.5185185185189</v>
      </c>
      <c r="D16" s="18">
        <f t="shared" si="1"/>
        <v>1388.8888888888889</v>
      </c>
      <c r="E16" s="18">
        <f t="shared" si="2"/>
        <v>491666.66666666674</v>
      </c>
      <c r="F16" s="19">
        <f t="shared" si="3"/>
        <v>3032.4074074074078</v>
      </c>
      <c r="G16" s="20"/>
      <c r="H16" s="3">
        <f t="shared" si="4"/>
        <v>6</v>
      </c>
      <c r="I16" s="18">
        <f t="shared" si="10"/>
        <v>496373.85710730881</v>
      </c>
      <c r="J16" s="18">
        <f t="shared" si="5"/>
        <v>1654.5795236910292</v>
      </c>
      <c r="K16" s="18">
        <f t="shared" si="6"/>
        <v>732.49695363626847</v>
      </c>
      <c r="L16" s="18">
        <f t="shared" si="7"/>
        <v>495641.36015367252</v>
      </c>
      <c r="M16" s="19">
        <f t="shared" si="8"/>
        <v>2387.0764773272977</v>
      </c>
    </row>
    <row r="17" spans="1:13" x14ac:dyDescent="0.25">
      <c r="A17" s="3">
        <f>IF(B17&lt;&gt;"",7,"")</f>
        <v>7</v>
      </c>
      <c r="B17" s="18">
        <f t="shared" si="9"/>
        <v>491666.66666666674</v>
      </c>
      <c r="C17" s="18">
        <f t="shared" si="0"/>
        <v>1638.8888888888894</v>
      </c>
      <c r="D17" s="18">
        <f t="shared" si="1"/>
        <v>1388.8888888888889</v>
      </c>
      <c r="E17" s="18">
        <f t="shared" si="2"/>
        <v>490277.77777777787</v>
      </c>
      <c r="F17" s="19">
        <f t="shared" si="3"/>
        <v>3027.7777777777783</v>
      </c>
      <c r="G17" s="20"/>
      <c r="H17" s="3">
        <f t="shared" si="4"/>
        <v>7</v>
      </c>
      <c r="I17" s="18">
        <f t="shared" si="10"/>
        <v>495641.36015367252</v>
      </c>
      <c r="J17" s="18">
        <f t="shared" si="5"/>
        <v>1652.1378671789082</v>
      </c>
      <c r="K17" s="18">
        <f t="shared" si="6"/>
        <v>734.93861014838944</v>
      </c>
      <c r="L17" s="18">
        <f t="shared" si="7"/>
        <v>494906.42154352413</v>
      </c>
      <c r="M17" s="19">
        <f t="shared" si="8"/>
        <v>2387.0764773272977</v>
      </c>
    </row>
    <row r="18" spans="1:13" x14ac:dyDescent="0.25">
      <c r="A18" s="3">
        <f>IF(B18&lt;&gt;"",8,"")</f>
        <v>8</v>
      </c>
      <c r="B18" s="18">
        <f t="shared" si="9"/>
        <v>490277.77777777787</v>
      </c>
      <c r="C18" s="18">
        <f t="shared" si="0"/>
        <v>1634.2592592592598</v>
      </c>
      <c r="D18" s="18">
        <f t="shared" si="1"/>
        <v>1388.8888888888889</v>
      </c>
      <c r="E18" s="18">
        <f t="shared" si="2"/>
        <v>488888.88888888899</v>
      </c>
      <c r="F18" s="19">
        <f t="shared" si="3"/>
        <v>3023.1481481481487</v>
      </c>
      <c r="G18" s="20"/>
      <c r="H18" s="3">
        <f t="shared" si="4"/>
        <v>8</v>
      </c>
      <c r="I18" s="18">
        <f t="shared" si="10"/>
        <v>494906.42154352413</v>
      </c>
      <c r="J18" s="18">
        <f t="shared" si="5"/>
        <v>1649.6880718117472</v>
      </c>
      <c r="K18" s="18">
        <f t="shared" si="6"/>
        <v>737.3884055155504</v>
      </c>
      <c r="L18" s="18">
        <f t="shared" si="7"/>
        <v>494169.03313800856</v>
      </c>
      <c r="M18" s="19">
        <f t="shared" si="8"/>
        <v>2387.0764773272977</v>
      </c>
    </row>
    <row r="19" spans="1:13" x14ac:dyDescent="0.25">
      <c r="A19" s="3">
        <f>IF(B19&lt;&gt;"",9,"")</f>
        <v>9</v>
      </c>
      <c r="B19" s="18">
        <f t="shared" si="9"/>
        <v>488888.88888888899</v>
      </c>
      <c r="C19" s="18">
        <f t="shared" si="0"/>
        <v>1629.6296296296298</v>
      </c>
      <c r="D19" s="18">
        <f t="shared" si="1"/>
        <v>1388.8888888888889</v>
      </c>
      <c r="E19" s="18">
        <f t="shared" si="2"/>
        <v>487500.00000000012</v>
      </c>
      <c r="F19" s="19">
        <f t="shared" si="3"/>
        <v>3018.5185185185187</v>
      </c>
      <c r="G19" s="20"/>
      <c r="H19" s="3">
        <f t="shared" si="4"/>
        <v>9</v>
      </c>
      <c r="I19" s="18">
        <f t="shared" si="10"/>
        <v>494169.03313800856</v>
      </c>
      <c r="J19" s="18">
        <f t="shared" si="5"/>
        <v>1647.2301104600285</v>
      </c>
      <c r="K19" s="18">
        <f t="shared" si="6"/>
        <v>739.84636686726913</v>
      </c>
      <c r="L19" s="18">
        <f t="shared" si="7"/>
        <v>493429.18677114131</v>
      </c>
      <c r="M19" s="19">
        <f t="shared" si="8"/>
        <v>2387.0764773272977</v>
      </c>
    </row>
    <row r="20" spans="1:13" x14ac:dyDescent="0.25">
      <c r="A20" s="3">
        <f>IF(B20&lt;&gt;"",10,"")</f>
        <v>10</v>
      </c>
      <c r="B20" s="18">
        <f t="shared" si="9"/>
        <v>487500.00000000012</v>
      </c>
      <c r="C20" s="18">
        <f t="shared" si="0"/>
        <v>1625.0000000000002</v>
      </c>
      <c r="D20" s="18">
        <f t="shared" si="1"/>
        <v>1388.8888888888889</v>
      </c>
      <c r="E20" s="18">
        <f t="shared" si="2"/>
        <v>486111.11111111124</v>
      </c>
      <c r="F20" s="19">
        <f t="shared" si="3"/>
        <v>3013.8888888888891</v>
      </c>
      <c r="G20" s="20"/>
      <c r="H20" s="3">
        <f t="shared" si="4"/>
        <v>10</v>
      </c>
      <c r="I20" s="18">
        <f t="shared" si="10"/>
        <v>493429.18677114131</v>
      </c>
      <c r="J20" s="18">
        <f t="shared" si="5"/>
        <v>1644.7639559038043</v>
      </c>
      <c r="K20" s="18">
        <f t="shared" si="6"/>
        <v>742.31252142349331</v>
      </c>
      <c r="L20" s="18">
        <f t="shared" si="7"/>
        <v>492686.8742497178</v>
      </c>
      <c r="M20" s="19">
        <f t="shared" si="8"/>
        <v>2387.0764773272977</v>
      </c>
    </row>
    <row r="21" spans="1:13" x14ac:dyDescent="0.25">
      <c r="A21" s="3">
        <f>IF(B21&lt;&gt;"",11,"")</f>
        <v>11</v>
      </c>
      <c r="B21" s="18">
        <f t="shared" si="9"/>
        <v>486111.11111111124</v>
      </c>
      <c r="C21" s="18">
        <f t="shared" si="0"/>
        <v>1620.3703703703707</v>
      </c>
      <c r="D21" s="18">
        <f t="shared" si="1"/>
        <v>1388.8888888888889</v>
      </c>
      <c r="E21" s="18">
        <f t="shared" si="2"/>
        <v>484722.22222222236</v>
      </c>
      <c r="F21" s="19">
        <f t="shared" si="3"/>
        <v>3009.2592592592596</v>
      </c>
      <c r="G21" s="20"/>
      <c r="H21" s="3">
        <f t="shared" si="4"/>
        <v>11</v>
      </c>
      <c r="I21" s="18">
        <f t="shared" si="10"/>
        <v>492686.8742497178</v>
      </c>
      <c r="J21" s="18">
        <f t="shared" si="5"/>
        <v>1642.2895808323929</v>
      </c>
      <c r="K21" s="18">
        <f t="shared" si="6"/>
        <v>744.78689649490479</v>
      </c>
      <c r="L21" s="18">
        <f t="shared" si="7"/>
        <v>491942.08735322289</v>
      </c>
      <c r="M21" s="19">
        <f t="shared" si="8"/>
        <v>2387.0764773272977</v>
      </c>
    </row>
    <row r="22" spans="1:13" x14ac:dyDescent="0.25">
      <c r="A22" s="3">
        <f>IF(B22&lt;&gt;"",12,"")</f>
        <v>12</v>
      </c>
      <c r="B22" s="18">
        <f t="shared" si="9"/>
        <v>484722.22222222236</v>
      </c>
      <c r="C22" s="18">
        <f t="shared" si="0"/>
        <v>1615.7407407407411</v>
      </c>
      <c r="D22" s="18">
        <f t="shared" si="1"/>
        <v>1388.8888888888889</v>
      </c>
      <c r="E22" s="18">
        <f t="shared" si="2"/>
        <v>483333.33333333349</v>
      </c>
      <c r="F22" s="19">
        <f t="shared" si="3"/>
        <v>3004.62962962963</v>
      </c>
      <c r="G22" s="20"/>
      <c r="H22" s="3">
        <f t="shared" si="4"/>
        <v>12</v>
      </c>
      <c r="I22" s="18">
        <f t="shared" si="10"/>
        <v>491942.08735322289</v>
      </c>
      <c r="J22" s="18">
        <f t="shared" si="5"/>
        <v>1639.8069578440764</v>
      </c>
      <c r="K22" s="18">
        <f t="shared" si="6"/>
        <v>747.2695194832213</v>
      </c>
      <c r="L22" s="18">
        <f t="shared" si="7"/>
        <v>491194.81783373968</v>
      </c>
      <c r="M22" s="19">
        <f t="shared" si="8"/>
        <v>2387.0764773272977</v>
      </c>
    </row>
    <row r="23" spans="1:13" x14ac:dyDescent="0.25">
      <c r="A23" s="3">
        <f>IF(B23&lt;&gt;"",13,"")</f>
        <v>13</v>
      </c>
      <c r="B23" s="18">
        <f t="shared" si="9"/>
        <v>483333.33333333349</v>
      </c>
      <c r="C23" s="18">
        <f t="shared" si="0"/>
        <v>1611.1111111111115</v>
      </c>
      <c r="D23" s="18">
        <f t="shared" si="1"/>
        <v>1388.8888888888889</v>
      </c>
      <c r="E23" s="18">
        <f t="shared" si="2"/>
        <v>481944.44444444461</v>
      </c>
      <c r="F23" s="19">
        <f t="shared" si="3"/>
        <v>3000.0000000000005</v>
      </c>
      <c r="G23" s="20"/>
      <c r="H23" s="3">
        <f t="shared" si="4"/>
        <v>13</v>
      </c>
      <c r="I23" s="18">
        <f t="shared" si="10"/>
        <v>491194.81783373968</v>
      </c>
      <c r="J23" s="18">
        <f t="shared" si="5"/>
        <v>1637.3160594457988</v>
      </c>
      <c r="K23" s="18">
        <f t="shared" si="6"/>
        <v>749.76041788149882</v>
      </c>
      <c r="L23" s="18">
        <f t="shared" si="7"/>
        <v>490445.0574158582</v>
      </c>
      <c r="M23" s="19">
        <f t="shared" si="8"/>
        <v>2387.0764773272977</v>
      </c>
    </row>
    <row r="24" spans="1:13" x14ac:dyDescent="0.25">
      <c r="A24" s="3">
        <f>IF(B24&lt;&gt;"",14,"")</f>
        <v>14</v>
      </c>
      <c r="B24" s="18">
        <f t="shared" si="9"/>
        <v>481944.44444444461</v>
      </c>
      <c r="C24" s="18">
        <f t="shared" si="0"/>
        <v>1606.481481481482</v>
      </c>
      <c r="D24" s="18">
        <f t="shared" si="1"/>
        <v>1388.8888888888889</v>
      </c>
      <c r="E24" s="18">
        <f t="shared" si="2"/>
        <v>480555.55555555574</v>
      </c>
      <c r="F24" s="19">
        <f t="shared" si="3"/>
        <v>2995.3703703703709</v>
      </c>
      <c r="G24" s="20"/>
      <c r="H24" s="3">
        <f t="shared" si="4"/>
        <v>14</v>
      </c>
      <c r="I24" s="18">
        <f t="shared" si="10"/>
        <v>490445.0574158582</v>
      </c>
      <c r="J24" s="18">
        <f t="shared" si="5"/>
        <v>1634.8168580528607</v>
      </c>
      <c r="K24" s="18">
        <f t="shared" si="6"/>
        <v>752.259619274437</v>
      </c>
      <c r="L24" s="18">
        <f t="shared" si="7"/>
        <v>489692.79779658379</v>
      </c>
      <c r="M24" s="19">
        <f t="shared" si="8"/>
        <v>2387.0764773272977</v>
      </c>
    </row>
    <row r="25" spans="1:13" x14ac:dyDescent="0.25">
      <c r="A25" s="3">
        <f>IF(B25&lt;&gt;"",15,"")</f>
        <v>15</v>
      </c>
      <c r="B25" s="18">
        <f t="shared" si="9"/>
        <v>480555.55555555574</v>
      </c>
      <c r="C25" s="18">
        <f t="shared" si="0"/>
        <v>1601.8518518518524</v>
      </c>
      <c r="D25" s="18">
        <f t="shared" si="1"/>
        <v>1388.8888888888889</v>
      </c>
      <c r="E25" s="18">
        <f t="shared" si="2"/>
        <v>479166.66666666686</v>
      </c>
      <c r="F25" s="19">
        <f t="shared" si="3"/>
        <v>2990.7407407407413</v>
      </c>
      <c r="G25" s="20"/>
      <c r="H25" s="3">
        <f t="shared" si="4"/>
        <v>15</v>
      </c>
      <c r="I25" s="18">
        <f t="shared" si="10"/>
        <v>489692.79779658379</v>
      </c>
      <c r="J25" s="18">
        <f t="shared" si="5"/>
        <v>1632.3093259886127</v>
      </c>
      <c r="K25" s="18">
        <f t="shared" si="6"/>
        <v>754.76715133868493</v>
      </c>
      <c r="L25" s="18">
        <f t="shared" si="7"/>
        <v>488938.0306452451</v>
      </c>
      <c r="M25" s="19">
        <f t="shared" si="8"/>
        <v>2387.0764773272977</v>
      </c>
    </row>
    <row r="26" spans="1:13" x14ac:dyDescent="0.25">
      <c r="A26" s="3">
        <f>IF(B26&lt;&gt;"",16,"")</f>
        <v>16</v>
      </c>
      <c r="B26" s="18">
        <f t="shared" si="9"/>
        <v>479166.66666666686</v>
      </c>
      <c r="C26" s="18">
        <f t="shared" si="0"/>
        <v>1597.2222222222229</v>
      </c>
      <c r="D26" s="18">
        <f t="shared" si="1"/>
        <v>1388.8888888888889</v>
      </c>
      <c r="E26" s="18">
        <f t="shared" si="2"/>
        <v>477777.77777777798</v>
      </c>
      <c r="F26" s="19">
        <f t="shared" si="3"/>
        <v>2986.1111111111118</v>
      </c>
      <c r="G26" s="20"/>
      <c r="H26" s="3">
        <f t="shared" si="4"/>
        <v>16</v>
      </c>
      <c r="I26" s="18">
        <f t="shared" si="10"/>
        <v>488938.0306452451</v>
      </c>
      <c r="J26" s="18">
        <f t="shared" si="5"/>
        <v>1629.7934354841502</v>
      </c>
      <c r="K26" s="18">
        <f t="shared" si="6"/>
        <v>757.28304184314743</v>
      </c>
      <c r="L26" s="18">
        <f t="shared" si="7"/>
        <v>488180.74760340195</v>
      </c>
      <c r="M26" s="19">
        <f t="shared" si="8"/>
        <v>2387.0764773272977</v>
      </c>
    </row>
    <row r="27" spans="1:13" x14ac:dyDescent="0.25">
      <c r="A27" s="3">
        <f>IF(B27&lt;&gt;"",17,"")</f>
        <v>17</v>
      </c>
      <c r="B27" s="18">
        <f t="shared" si="9"/>
        <v>477777.77777777798</v>
      </c>
      <c r="C27" s="18">
        <f t="shared" si="0"/>
        <v>1592.5925925925933</v>
      </c>
      <c r="D27" s="18">
        <f t="shared" si="1"/>
        <v>1388.8888888888889</v>
      </c>
      <c r="E27" s="18">
        <f t="shared" si="2"/>
        <v>476388.88888888911</v>
      </c>
      <c r="F27" s="19">
        <f t="shared" si="3"/>
        <v>2981.4814814814822</v>
      </c>
      <c r="G27" s="20"/>
      <c r="H27" s="3">
        <f t="shared" si="4"/>
        <v>17</v>
      </c>
      <c r="I27" s="18">
        <f t="shared" si="10"/>
        <v>488180.74760340195</v>
      </c>
      <c r="J27" s="18">
        <f t="shared" si="5"/>
        <v>1627.2691586780065</v>
      </c>
      <c r="K27" s="18">
        <f t="shared" si="6"/>
        <v>759.80731864929112</v>
      </c>
      <c r="L27" s="18">
        <f t="shared" si="7"/>
        <v>487420.94028475264</v>
      </c>
      <c r="M27" s="19">
        <f t="shared" si="8"/>
        <v>2387.0764773272977</v>
      </c>
    </row>
    <row r="28" spans="1:13" x14ac:dyDescent="0.25">
      <c r="A28" s="3">
        <f>IF(B28&lt;&gt;"",18,"")</f>
        <v>18</v>
      </c>
      <c r="B28" s="18">
        <f t="shared" si="9"/>
        <v>476388.88888888911</v>
      </c>
      <c r="C28" s="18">
        <f t="shared" si="0"/>
        <v>1587.9629629629637</v>
      </c>
      <c r="D28" s="18">
        <f t="shared" si="1"/>
        <v>1388.8888888888889</v>
      </c>
      <c r="E28" s="18">
        <f t="shared" si="2"/>
        <v>475000.00000000023</v>
      </c>
      <c r="F28" s="19">
        <f t="shared" si="3"/>
        <v>2976.8518518518526</v>
      </c>
      <c r="G28" s="20"/>
      <c r="H28" s="3">
        <f t="shared" si="4"/>
        <v>18</v>
      </c>
      <c r="I28" s="18">
        <f t="shared" si="10"/>
        <v>487420.94028475264</v>
      </c>
      <c r="J28" s="18">
        <f t="shared" si="5"/>
        <v>1624.7364676158422</v>
      </c>
      <c r="K28" s="18">
        <f t="shared" si="6"/>
        <v>762.34000971145542</v>
      </c>
      <c r="L28" s="18">
        <f t="shared" si="7"/>
        <v>486658.60027504119</v>
      </c>
      <c r="M28" s="19">
        <f t="shared" si="8"/>
        <v>2387.0764773272977</v>
      </c>
    </row>
    <row r="29" spans="1:13" x14ac:dyDescent="0.25">
      <c r="A29" s="3">
        <f>IF(B29&lt;&gt;"",19,"")</f>
        <v>19</v>
      </c>
      <c r="B29" s="18">
        <f t="shared" si="9"/>
        <v>475000.00000000023</v>
      </c>
      <c r="C29" s="18">
        <f t="shared" si="0"/>
        <v>1583.3333333333342</v>
      </c>
      <c r="D29" s="18">
        <f t="shared" si="1"/>
        <v>1388.8888888888889</v>
      </c>
      <c r="E29" s="18">
        <f t="shared" si="2"/>
        <v>473611.11111111136</v>
      </c>
      <c r="F29" s="19">
        <f t="shared" si="3"/>
        <v>2972.2222222222231</v>
      </c>
      <c r="G29" s="20"/>
      <c r="H29" s="3">
        <f t="shared" si="4"/>
        <v>19</v>
      </c>
      <c r="I29" s="18">
        <f t="shared" si="10"/>
        <v>486658.60027504119</v>
      </c>
      <c r="J29" s="18">
        <f t="shared" si="5"/>
        <v>1622.1953342501374</v>
      </c>
      <c r="K29" s="18">
        <f t="shared" si="6"/>
        <v>764.88114307716023</v>
      </c>
      <c r="L29" s="18">
        <f t="shared" si="7"/>
        <v>485893.71913196403</v>
      </c>
      <c r="M29" s="19">
        <f t="shared" si="8"/>
        <v>2387.0764773272977</v>
      </c>
    </row>
    <row r="30" spans="1:13" x14ac:dyDescent="0.25">
      <c r="A30" s="3">
        <f>IF(B30&lt;&gt;"",20,"")</f>
        <v>20</v>
      </c>
      <c r="B30" s="18">
        <f t="shared" si="9"/>
        <v>473611.11111111136</v>
      </c>
      <c r="C30" s="18">
        <f t="shared" si="0"/>
        <v>1578.7037037037046</v>
      </c>
      <c r="D30" s="18">
        <f t="shared" si="1"/>
        <v>1388.8888888888889</v>
      </c>
      <c r="E30" s="18">
        <f t="shared" si="2"/>
        <v>472222.22222222248</v>
      </c>
      <c r="F30" s="19">
        <f t="shared" si="3"/>
        <v>2967.5925925925935</v>
      </c>
      <c r="G30" s="20"/>
      <c r="H30" s="3">
        <f t="shared" si="4"/>
        <v>20</v>
      </c>
      <c r="I30" s="18">
        <f t="shared" si="10"/>
        <v>485893.71913196403</v>
      </c>
      <c r="J30" s="18">
        <f t="shared" si="5"/>
        <v>1619.64573043988</v>
      </c>
      <c r="K30" s="18">
        <f t="shared" si="6"/>
        <v>767.43074688741763</v>
      </c>
      <c r="L30" s="18">
        <f t="shared" si="7"/>
        <v>485126.28838507662</v>
      </c>
      <c r="M30" s="19">
        <f t="shared" si="8"/>
        <v>2387.0764773272977</v>
      </c>
    </row>
    <row r="31" spans="1:13" x14ac:dyDescent="0.25">
      <c r="A31" s="3">
        <f>IF(B31&lt;&gt;"",21,"")</f>
        <v>21</v>
      </c>
      <c r="B31" s="18">
        <f t="shared" si="9"/>
        <v>472222.22222222248</v>
      </c>
      <c r="C31" s="18">
        <f t="shared" si="0"/>
        <v>1574.074074074075</v>
      </c>
      <c r="D31" s="18">
        <f t="shared" si="1"/>
        <v>1388.8888888888889</v>
      </c>
      <c r="E31" s="18">
        <f t="shared" si="2"/>
        <v>470833.3333333336</v>
      </c>
      <c r="F31" s="19">
        <f t="shared" si="3"/>
        <v>2962.962962962964</v>
      </c>
      <c r="G31" s="20"/>
      <c r="H31" s="3">
        <f t="shared" si="4"/>
        <v>21</v>
      </c>
      <c r="I31" s="18">
        <f t="shared" si="10"/>
        <v>485126.28838507662</v>
      </c>
      <c r="J31" s="18">
        <f t="shared" si="5"/>
        <v>1617.0876279502554</v>
      </c>
      <c r="K31" s="18">
        <f t="shared" si="6"/>
        <v>769.98884937704224</v>
      </c>
      <c r="L31" s="18">
        <f t="shared" si="7"/>
        <v>484356.2995356996</v>
      </c>
      <c r="M31" s="19">
        <f t="shared" si="8"/>
        <v>2387.0764773272977</v>
      </c>
    </row>
    <row r="32" spans="1:13" x14ac:dyDescent="0.25">
      <c r="A32" s="3">
        <f>IF(B32&lt;&gt;"",22,"")</f>
        <v>22</v>
      </c>
      <c r="B32" s="18">
        <f t="shared" si="9"/>
        <v>470833.3333333336</v>
      </c>
      <c r="C32" s="18">
        <f t="shared" si="0"/>
        <v>1569.4444444444453</v>
      </c>
      <c r="D32" s="18">
        <f t="shared" si="1"/>
        <v>1388.8888888888889</v>
      </c>
      <c r="E32" s="18">
        <f t="shared" si="2"/>
        <v>469444.44444444473</v>
      </c>
      <c r="F32" s="19">
        <f t="shared" si="3"/>
        <v>2958.3333333333339</v>
      </c>
      <c r="G32" s="20"/>
      <c r="H32" s="3">
        <f t="shared" si="4"/>
        <v>22</v>
      </c>
      <c r="I32" s="18">
        <f t="shared" si="10"/>
        <v>484356.2995356996</v>
      </c>
      <c r="J32" s="18">
        <f t="shared" si="5"/>
        <v>1614.5209984523319</v>
      </c>
      <c r="K32" s="18">
        <f t="shared" si="6"/>
        <v>772.55547887496573</v>
      </c>
      <c r="L32" s="18">
        <f t="shared" si="7"/>
        <v>483583.74405682465</v>
      </c>
      <c r="M32" s="19">
        <f t="shared" si="8"/>
        <v>2387.0764773272977</v>
      </c>
    </row>
    <row r="33" spans="1:13" x14ac:dyDescent="0.25">
      <c r="A33" s="3">
        <f>IF(B33&lt;&gt;"",23,"")</f>
        <v>23</v>
      </c>
      <c r="B33" s="18">
        <f t="shared" si="9"/>
        <v>469444.44444444473</v>
      </c>
      <c r="C33" s="18">
        <f t="shared" si="0"/>
        <v>1564.8148148148157</v>
      </c>
      <c r="D33" s="18">
        <f t="shared" si="1"/>
        <v>1388.8888888888889</v>
      </c>
      <c r="E33" s="18">
        <f t="shared" si="2"/>
        <v>468055.55555555585</v>
      </c>
      <c r="F33" s="19">
        <f t="shared" si="3"/>
        <v>2953.7037037037044</v>
      </c>
      <c r="G33" s="20"/>
      <c r="H33" s="3">
        <f t="shared" si="4"/>
        <v>23</v>
      </c>
      <c r="I33" s="18">
        <f t="shared" si="10"/>
        <v>483583.74405682465</v>
      </c>
      <c r="J33" s="18">
        <f t="shared" si="5"/>
        <v>1611.9458135227489</v>
      </c>
      <c r="K33" s="18">
        <f t="shared" si="6"/>
        <v>775.1306638045487</v>
      </c>
      <c r="L33" s="18">
        <f t="shared" si="7"/>
        <v>482808.61339302012</v>
      </c>
      <c r="M33" s="19">
        <f t="shared" si="8"/>
        <v>2387.0764773272977</v>
      </c>
    </row>
    <row r="34" spans="1:13" x14ac:dyDescent="0.25">
      <c r="A34" s="3">
        <f>IF(B34&lt;&gt;"",24,"")</f>
        <v>24</v>
      </c>
      <c r="B34" s="18">
        <f t="shared" si="9"/>
        <v>468055.55555555585</v>
      </c>
      <c r="C34" s="18">
        <f t="shared" si="0"/>
        <v>1560.1851851851861</v>
      </c>
      <c r="D34" s="18">
        <f t="shared" si="1"/>
        <v>1388.8888888888889</v>
      </c>
      <c r="E34" s="18">
        <f t="shared" si="2"/>
        <v>466666.66666666698</v>
      </c>
      <c r="F34" s="19">
        <f t="shared" si="3"/>
        <v>2949.0740740740748</v>
      </c>
      <c r="G34" s="20"/>
      <c r="H34" s="3">
        <f t="shared" si="4"/>
        <v>24</v>
      </c>
      <c r="I34" s="18">
        <f t="shared" si="10"/>
        <v>482808.61339302012</v>
      </c>
      <c r="J34" s="18">
        <f t="shared" si="5"/>
        <v>1609.3620446434004</v>
      </c>
      <c r="K34" s="18">
        <f t="shared" si="6"/>
        <v>777.71443268389726</v>
      </c>
      <c r="L34" s="18">
        <f t="shared" si="7"/>
        <v>482030.89896033623</v>
      </c>
      <c r="M34" s="19">
        <f t="shared" si="8"/>
        <v>2387.0764773272977</v>
      </c>
    </row>
    <row r="35" spans="1:13" x14ac:dyDescent="0.25">
      <c r="A35" s="3">
        <f>IF(B35&lt;&gt;"",25,"")</f>
        <v>25</v>
      </c>
      <c r="B35" s="18">
        <f t="shared" si="9"/>
        <v>466666.66666666698</v>
      </c>
      <c r="C35" s="18">
        <f t="shared" si="0"/>
        <v>1555.5555555555566</v>
      </c>
      <c r="D35" s="18">
        <f t="shared" si="1"/>
        <v>1388.8888888888889</v>
      </c>
      <c r="E35" s="18">
        <f t="shared" si="2"/>
        <v>465277.7777777781</v>
      </c>
      <c r="F35" s="19">
        <f t="shared" si="3"/>
        <v>2944.4444444444453</v>
      </c>
      <c r="G35" s="20"/>
      <c r="H35" s="3">
        <f t="shared" si="4"/>
        <v>25</v>
      </c>
      <c r="I35" s="18">
        <f t="shared" si="10"/>
        <v>482030.89896033623</v>
      </c>
      <c r="J35" s="18">
        <f t="shared" si="5"/>
        <v>1606.7696632011209</v>
      </c>
      <c r="K35" s="18">
        <f t="shared" si="6"/>
        <v>780.30681412617673</v>
      </c>
      <c r="L35" s="18">
        <f t="shared" si="7"/>
        <v>481250.59214621002</v>
      </c>
      <c r="M35" s="19">
        <f t="shared" si="8"/>
        <v>2387.0764773272977</v>
      </c>
    </row>
    <row r="36" spans="1:13" x14ac:dyDescent="0.25">
      <c r="A36" s="3">
        <f>IF(B36&lt;&gt;"",26,"")</f>
        <v>26</v>
      </c>
      <c r="B36" s="18">
        <f t="shared" si="9"/>
        <v>465277.7777777781</v>
      </c>
      <c r="C36" s="18">
        <f t="shared" si="0"/>
        <v>1550.925925925927</v>
      </c>
      <c r="D36" s="18">
        <f t="shared" si="1"/>
        <v>1388.8888888888889</v>
      </c>
      <c r="E36" s="18">
        <f t="shared" si="2"/>
        <v>463888.88888888923</v>
      </c>
      <c r="F36" s="19">
        <f t="shared" si="3"/>
        <v>2939.8148148148157</v>
      </c>
      <c r="G36" s="20"/>
      <c r="H36" s="3">
        <f t="shared" si="4"/>
        <v>26</v>
      </c>
      <c r="I36" s="18">
        <f t="shared" si="10"/>
        <v>481250.59214621002</v>
      </c>
      <c r="J36" s="18">
        <f t="shared" si="5"/>
        <v>1604.1686404873669</v>
      </c>
      <c r="K36" s="18">
        <f t="shared" si="6"/>
        <v>782.90783683993072</v>
      </c>
      <c r="L36" s="18">
        <f t="shared" si="7"/>
        <v>480467.68430937012</v>
      </c>
      <c r="M36" s="19">
        <f t="shared" si="8"/>
        <v>2387.0764773272977</v>
      </c>
    </row>
    <row r="37" spans="1:13" x14ac:dyDescent="0.25">
      <c r="A37" s="3">
        <f>IF(B37&lt;&gt;"",27,"")</f>
        <v>27</v>
      </c>
      <c r="B37" s="18">
        <f t="shared" si="9"/>
        <v>463888.88888888923</v>
      </c>
      <c r="C37" s="18">
        <f t="shared" si="0"/>
        <v>1546.2962962962974</v>
      </c>
      <c r="D37" s="18">
        <f t="shared" si="1"/>
        <v>1388.8888888888889</v>
      </c>
      <c r="E37" s="18">
        <f t="shared" si="2"/>
        <v>462500.00000000035</v>
      </c>
      <c r="F37" s="19">
        <f t="shared" si="3"/>
        <v>2935.1851851851861</v>
      </c>
      <c r="G37" s="20"/>
      <c r="H37" s="3">
        <f t="shared" si="4"/>
        <v>27</v>
      </c>
      <c r="I37" s="18">
        <f t="shared" si="10"/>
        <v>480467.68430937012</v>
      </c>
      <c r="J37" s="18">
        <f t="shared" si="5"/>
        <v>1601.5589476979003</v>
      </c>
      <c r="K37" s="18">
        <f t="shared" si="6"/>
        <v>785.51752962939736</v>
      </c>
      <c r="L37" s="18">
        <f t="shared" si="7"/>
        <v>479682.16677974071</v>
      </c>
      <c r="M37" s="19">
        <f t="shared" si="8"/>
        <v>2387.0764773272977</v>
      </c>
    </row>
    <row r="38" spans="1:13" x14ac:dyDescent="0.25">
      <c r="A38" s="3">
        <f>IF(B38&lt;&gt;"",28,"")</f>
        <v>28</v>
      </c>
      <c r="B38" s="18">
        <f t="shared" si="9"/>
        <v>462500.00000000035</v>
      </c>
      <c r="C38" s="18">
        <f t="shared" si="0"/>
        <v>1541.6666666666679</v>
      </c>
      <c r="D38" s="18">
        <f t="shared" si="1"/>
        <v>1388.8888888888889</v>
      </c>
      <c r="E38" s="18">
        <f t="shared" si="2"/>
        <v>461111.11111111147</v>
      </c>
      <c r="F38" s="19">
        <f t="shared" si="3"/>
        <v>2930.5555555555566</v>
      </c>
      <c r="G38" s="20"/>
      <c r="H38" s="3">
        <f t="shared" si="4"/>
        <v>28</v>
      </c>
      <c r="I38" s="18">
        <f t="shared" si="10"/>
        <v>479682.16677974071</v>
      </c>
      <c r="J38" s="18">
        <f t="shared" si="5"/>
        <v>1598.9405559324689</v>
      </c>
      <c r="K38" s="18">
        <f t="shared" si="6"/>
        <v>788.13592139482876</v>
      </c>
      <c r="L38" s="18">
        <f t="shared" si="7"/>
        <v>478894.03085834591</v>
      </c>
      <c r="M38" s="19">
        <f t="shared" si="8"/>
        <v>2387.0764773272977</v>
      </c>
    </row>
    <row r="39" spans="1:13" x14ac:dyDescent="0.25">
      <c r="A39" s="3">
        <f>IF(B39&lt;&gt;"",29,"")</f>
        <v>29</v>
      </c>
      <c r="B39" s="18">
        <f t="shared" si="9"/>
        <v>461111.11111111147</v>
      </c>
      <c r="C39" s="18">
        <f t="shared" si="0"/>
        <v>1537.0370370370383</v>
      </c>
      <c r="D39" s="18">
        <f t="shared" si="1"/>
        <v>1388.8888888888889</v>
      </c>
      <c r="E39" s="18">
        <f t="shared" si="2"/>
        <v>459722.2222222226</v>
      </c>
      <c r="F39" s="19">
        <f t="shared" si="3"/>
        <v>2925.925925925927</v>
      </c>
      <c r="G39" s="20"/>
      <c r="H39" s="3">
        <f t="shared" si="4"/>
        <v>29</v>
      </c>
      <c r="I39" s="18">
        <f t="shared" si="10"/>
        <v>478894.03085834591</v>
      </c>
      <c r="J39" s="18">
        <f t="shared" si="5"/>
        <v>1596.3134361944865</v>
      </c>
      <c r="K39" s="18">
        <f t="shared" si="6"/>
        <v>790.76304113281117</v>
      </c>
      <c r="L39" s="18">
        <f t="shared" si="7"/>
        <v>478103.26781721308</v>
      </c>
      <c r="M39" s="19">
        <f t="shared" si="8"/>
        <v>2387.0764773272977</v>
      </c>
    </row>
    <row r="40" spans="1:13" x14ac:dyDescent="0.25">
      <c r="A40" s="3">
        <f>IF(B40&lt;&gt;"",30,"")</f>
        <v>30</v>
      </c>
      <c r="B40" s="18">
        <f t="shared" si="9"/>
        <v>459722.2222222226</v>
      </c>
      <c r="C40" s="18">
        <f t="shared" si="0"/>
        <v>1532.4074074074088</v>
      </c>
      <c r="D40" s="18">
        <f t="shared" si="1"/>
        <v>1388.8888888888889</v>
      </c>
      <c r="E40" s="18">
        <f t="shared" si="2"/>
        <v>458333.33333333372</v>
      </c>
      <c r="F40" s="19">
        <f t="shared" si="3"/>
        <v>2921.2962962962974</v>
      </c>
      <c r="G40" s="20"/>
      <c r="H40" s="3">
        <f t="shared" si="4"/>
        <v>30</v>
      </c>
      <c r="I40" s="18">
        <f t="shared" si="10"/>
        <v>478103.26781721308</v>
      </c>
      <c r="J40" s="18">
        <f t="shared" si="5"/>
        <v>1593.6775593907103</v>
      </c>
      <c r="K40" s="18">
        <f t="shared" si="6"/>
        <v>793.3989179365874</v>
      </c>
      <c r="L40" s="18">
        <f t="shared" si="7"/>
        <v>477309.86889927648</v>
      </c>
      <c r="M40" s="19">
        <f t="shared" si="8"/>
        <v>2387.0764773272977</v>
      </c>
    </row>
    <row r="41" spans="1:13" x14ac:dyDescent="0.25">
      <c r="A41" s="3">
        <f>IF(B41&lt;&gt;"",31,"")</f>
        <v>31</v>
      </c>
      <c r="B41" s="18">
        <f t="shared" si="9"/>
        <v>458333.33333333372</v>
      </c>
      <c r="C41" s="18">
        <f t="shared" si="0"/>
        <v>1527.7777777777792</v>
      </c>
      <c r="D41" s="18">
        <f t="shared" si="1"/>
        <v>1388.8888888888889</v>
      </c>
      <c r="E41" s="18">
        <f t="shared" si="2"/>
        <v>456944.44444444485</v>
      </c>
      <c r="F41" s="19">
        <f t="shared" si="3"/>
        <v>2916.6666666666679</v>
      </c>
      <c r="G41" s="20"/>
      <c r="H41" s="3">
        <f t="shared" si="4"/>
        <v>31</v>
      </c>
      <c r="I41" s="18">
        <f t="shared" si="10"/>
        <v>477309.86889927648</v>
      </c>
      <c r="J41" s="18">
        <f t="shared" si="5"/>
        <v>1591.0328963309219</v>
      </c>
      <c r="K41" s="18">
        <f t="shared" si="6"/>
        <v>796.04358099637579</v>
      </c>
      <c r="L41" s="18">
        <f t="shared" si="7"/>
        <v>476513.82531828008</v>
      </c>
      <c r="M41" s="19">
        <f t="shared" si="8"/>
        <v>2387.0764773272977</v>
      </c>
    </row>
    <row r="42" spans="1:13" x14ac:dyDescent="0.25">
      <c r="A42" s="3">
        <f>IF(B42&lt;&gt;"",32,"")</f>
        <v>32</v>
      </c>
      <c r="B42" s="18">
        <f t="shared" si="9"/>
        <v>456944.44444444485</v>
      </c>
      <c r="C42" s="18">
        <f t="shared" si="0"/>
        <v>1523.1481481481496</v>
      </c>
      <c r="D42" s="18">
        <f t="shared" si="1"/>
        <v>1388.8888888888889</v>
      </c>
      <c r="E42" s="18">
        <f t="shared" si="2"/>
        <v>455555.55555555597</v>
      </c>
      <c r="F42" s="19">
        <f t="shared" si="3"/>
        <v>2912.0370370370383</v>
      </c>
      <c r="G42" s="20"/>
      <c r="H42" s="3">
        <f t="shared" si="4"/>
        <v>32</v>
      </c>
      <c r="I42" s="18">
        <f t="shared" si="10"/>
        <v>476513.82531828008</v>
      </c>
      <c r="J42" s="18">
        <f t="shared" si="5"/>
        <v>1588.3794177276004</v>
      </c>
      <c r="K42" s="18">
        <f t="shared" si="6"/>
        <v>798.69705959969724</v>
      </c>
      <c r="L42" s="18">
        <f t="shared" si="7"/>
        <v>475715.1282586804</v>
      </c>
      <c r="M42" s="19">
        <f t="shared" si="8"/>
        <v>2387.0764773272977</v>
      </c>
    </row>
    <row r="43" spans="1:13" x14ac:dyDescent="0.25">
      <c r="A43" s="3">
        <f>IF(B43&lt;&gt;"",33,"")</f>
        <v>33</v>
      </c>
      <c r="B43" s="18">
        <f t="shared" si="9"/>
        <v>455555.55555555597</v>
      </c>
      <c r="C43" s="18">
        <f t="shared" si="0"/>
        <v>1518.5185185185201</v>
      </c>
      <c r="D43" s="18">
        <f t="shared" si="1"/>
        <v>1388.8888888888889</v>
      </c>
      <c r="E43" s="18">
        <f t="shared" si="2"/>
        <v>454166.66666666709</v>
      </c>
      <c r="F43" s="19">
        <f t="shared" si="3"/>
        <v>2907.4074074074088</v>
      </c>
      <c r="G43" s="20"/>
      <c r="H43" s="3">
        <f t="shared" si="4"/>
        <v>33</v>
      </c>
      <c r="I43" s="18">
        <f t="shared" si="10"/>
        <v>475715.1282586804</v>
      </c>
      <c r="J43" s="18">
        <f t="shared" si="5"/>
        <v>1585.7170941956012</v>
      </c>
      <c r="K43" s="18">
        <f t="shared" si="6"/>
        <v>801.3593831316964</v>
      </c>
      <c r="L43" s="18">
        <f t="shared" si="7"/>
        <v>474913.76887554873</v>
      </c>
      <c r="M43" s="19">
        <f t="shared" si="8"/>
        <v>2387.0764773272977</v>
      </c>
    </row>
    <row r="44" spans="1:13" x14ac:dyDescent="0.25">
      <c r="A44" s="3">
        <f>IF(B44&lt;&gt;"",34,"")</f>
        <v>34</v>
      </c>
      <c r="B44" s="18">
        <f t="shared" si="9"/>
        <v>454166.66666666709</v>
      </c>
      <c r="C44" s="18">
        <f t="shared" si="0"/>
        <v>1513.8888888888903</v>
      </c>
      <c r="D44" s="18">
        <f t="shared" si="1"/>
        <v>1388.8888888888889</v>
      </c>
      <c r="E44" s="18">
        <f t="shared" si="2"/>
        <v>452777.77777777822</v>
      </c>
      <c r="F44" s="19">
        <f t="shared" si="3"/>
        <v>2902.7777777777792</v>
      </c>
      <c r="G44" s="20"/>
      <c r="H44" s="3">
        <f t="shared" si="4"/>
        <v>34</v>
      </c>
      <c r="I44" s="18">
        <f t="shared" si="10"/>
        <v>474913.76887554873</v>
      </c>
      <c r="J44" s="18">
        <f t="shared" si="5"/>
        <v>1583.0458962518289</v>
      </c>
      <c r="K44" s="18">
        <f t="shared" si="6"/>
        <v>804.03058107546872</v>
      </c>
      <c r="L44" s="18">
        <f t="shared" si="7"/>
        <v>474109.73829447327</v>
      </c>
      <c r="M44" s="19">
        <f t="shared" si="8"/>
        <v>2387.0764773272977</v>
      </c>
    </row>
    <row r="45" spans="1:13" x14ac:dyDescent="0.25">
      <c r="A45" s="3">
        <f>IF(B45&lt;&gt;"",35,"")</f>
        <v>35</v>
      </c>
      <c r="B45" s="18">
        <f t="shared" si="9"/>
        <v>452777.77777777822</v>
      </c>
      <c r="C45" s="18">
        <f t="shared" si="0"/>
        <v>1509.2592592592607</v>
      </c>
      <c r="D45" s="18">
        <f t="shared" si="1"/>
        <v>1388.8888888888889</v>
      </c>
      <c r="E45" s="18">
        <f t="shared" si="2"/>
        <v>451388.88888888934</v>
      </c>
      <c r="F45" s="19">
        <f t="shared" si="3"/>
        <v>2898.1481481481496</v>
      </c>
      <c r="G45" s="20"/>
      <c r="H45" s="3">
        <f t="shared" si="4"/>
        <v>35</v>
      </c>
      <c r="I45" s="18">
        <f t="shared" si="10"/>
        <v>474109.73829447327</v>
      </c>
      <c r="J45" s="18">
        <f t="shared" si="5"/>
        <v>1580.365794314911</v>
      </c>
      <c r="K45" s="18">
        <f t="shared" si="6"/>
        <v>806.71068301238665</v>
      </c>
      <c r="L45" s="18">
        <f t="shared" si="7"/>
        <v>473303.02761146089</v>
      </c>
      <c r="M45" s="19">
        <f t="shared" si="8"/>
        <v>2387.0764773272977</v>
      </c>
    </row>
    <row r="46" spans="1:13" x14ac:dyDescent="0.25">
      <c r="A46" s="3">
        <f>IF(B46&lt;&gt;"",36,"")</f>
        <v>36</v>
      </c>
      <c r="B46" s="18">
        <f t="shared" si="9"/>
        <v>451388.88888888934</v>
      </c>
      <c r="C46" s="18">
        <f t="shared" si="0"/>
        <v>1504.6296296296312</v>
      </c>
      <c r="D46" s="18">
        <f t="shared" si="1"/>
        <v>1388.8888888888889</v>
      </c>
      <c r="E46" s="18">
        <f t="shared" si="2"/>
        <v>450000.00000000047</v>
      </c>
      <c r="F46" s="19">
        <f t="shared" si="3"/>
        <v>2893.5185185185201</v>
      </c>
      <c r="G46" s="20"/>
      <c r="H46" s="3">
        <f t="shared" si="4"/>
        <v>36</v>
      </c>
      <c r="I46" s="18">
        <f t="shared" si="10"/>
        <v>473303.02761146089</v>
      </c>
      <c r="J46" s="18">
        <f t="shared" si="5"/>
        <v>1577.6767587048696</v>
      </c>
      <c r="K46" s="18">
        <f t="shared" si="6"/>
        <v>809.39971862242805</v>
      </c>
      <c r="L46" s="18">
        <f t="shared" si="7"/>
        <v>472493.62789283844</v>
      </c>
      <c r="M46" s="19">
        <f t="shared" si="8"/>
        <v>2387.0764773272977</v>
      </c>
    </row>
    <row r="47" spans="1:13" x14ac:dyDescent="0.25">
      <c r="A47" s="3">
        <f>IF(B47&lt;&gt;"",37,"")</f>
        <v>37</v>
      </c>
      <c r="B47" s="18">
        <f t="shared" si="9"/>
        <v>450000.00000000047</v>
      </c>
      <c r="C47" s="18">
        <f t="shared" si="0"/>
        <v>1500.0000000000016</v>
      </c>
      <c r="D47" s="18">
        <f t="shared" si="1"/>
        <v>1388.8888888888889</v>
      </c>
      <c r="E47" s="18">
        <f t="shared" si="2"/>
        <v>448611.11111111159</v>
      </c>
      <c r="F47" s="19">
        <f t="shared" si="3"/>
        <v>2888.8888888888905</v>
      </c>
      <c r="G47" s="20"/>
      <c r="H47" s="3">
        <f t="shared" si="4"/>
        <v>37</v>
      </c>
      <c r="I47" s="18">
        <f t="shared" si="10"/>
        <v>472493.62789283844</v>
      </c>
      <c r="J47" s="18">
        <f t="shared" si="5"/>
        <v>1574.9787596427948</v>
      </c>
      <c r="K47" s="18">
        <f t="shared" si="6"/>
        <v>812.09771768450287</v>
      </c>
      <c r="L47" s="18">
        <f t="shared" si="7"/>
        <v>471681.53017515392</v>
      </c>
      <c r="M47" s="19">
        <f t="shared" si="8"/>
        <v>2387.0764773272977</v>
      </c>
    </row>
    <row r="48" spans="1:13" x14ac:dyDescent="0.25">
      <c r="A48" s="3">
        <f>IF(B48&lt;&gt;"",38,"")</f>
        <v>38</v>
      </c>
      <c r="B48" s="18">
        <f t="shared" si="9"/>
        <v>448611.11111111159</v>
      </c>
      <c r="C48" s="18">
        <f t="shared" si="0"/>
        <v>1495.370370370372</v>
      </c>
      <c r="D48" s="18">
        <f t="shared" si="1"/>
        <v>1388.8888888888889</v>
      </c>
      <c r="E48" s="18">
        <f t="shared" si="2"/>
        <v>447222.22222222271</v>
      </c>
      <c r="F48" s="19">
        <f t="shared" si="3"/>
        <v>2884.2592592592609</v>
      </c>
      <c r="G48" s="20"/>
      <c r="H48" s="3">
        <f t="shared" si="4"/>
        <v>38</v>
      </c>
      <c r="I48" s="18">
        <f t="shared" si="10"/>
        <v>471681.53017515392</v>
      </c>
      <c r="J48" s="18">
        <f t="shared" si="5"/>
        <v>1572.2717672505132</v>
      </c>
      <c r="K48" s="18">
        <f t="shared" si="6"/>
        <v>814.80471007678443</v>
      </c>
      <c r="L48" s="18">
        <f t="shared" si="7"/>
        <v>470866.72546507715</v>
      </c>
      <c r="M48" s="19">
        <f t="shared" si="8"/>
        <v>2387.0764773272977</v>
      </c>
    </row>
    <row r="49" spans="1:13" x14ac:dyDescent="0.25">
      <c r="A49" s="3">
        <f>IF(B49&lt;&gt;"",39,"")</f>
        <v>39</v>
      </c>
      <c r="B49" s="18">
        <f t="shared" si="9"/>
        <v>447222.22222222271</v>
      </c>
      <c r="C49" s="18">
        <f t="shared" si="0"/>
        <v>1490.7407407407425</v>
      </c>
      <c r="D49" s="18">
        <f t="shared" si="1"/>
        <v>1388.8888888888889</v>
      </c>
      <c r="E49" s="18">
        <f t="shared" si="2"/>
        <v>445833.33333333384</v>
      </c>
      <c r="F49" s="19">
        <f t="shared" si="3"/>
        <v>2879.6296296296314</v>
      </c>
      <c r="G49" s="20"/>
      <c r="H49" s="3">
        <f t="shared" si="4"/>
        <v>39</v>
      </c>
      <c r="I49" s="18">
        <f t="shared" si="10"/>
        <v>470866.72546507715</v>
      </c>
      <c r="J49" s="18">
        <f t="shared" si="5"/>
        <v>1569.5557515502571</v>
      </c>
      <c r="K49" s="18">
        <f t="shared" si="6"/>
        <v>817.52072577704052</v>
      </c>
      <c r="L49" s="18">
        <f t="shared" si="7"/>
        <v>470049.20473930013</v>
      </c>
      <c r="M49" s="19">
        <f t="shared" si="8"/>
        <v>2387.0764773272977</v>
      </c>
    </row>
    <row r="50" spans="1:13" x14ac:dyDescent="0.25">
      <c r="A50" s="3">
        <f>IF(B50&lt;&gt;"",40,"")</f>
        <v>40</v>
      </c>
      <c r="B50" s="18">
        <f t="shared" si="9"/>
        <v>445833.33333333384</v>
      </c>
      <c r="C50" s="18">
        <f t="shared" si="0"/>
        <v>1486.1111111111129</v>
      </c>
      <c r="D50" s="18">
        <f t="shared" si="1"/>
        <v>1388.8888888888889</v>
      </c>
      <c r="E50" s="18">
        <f t="shared" si="2"/>
        <v>444444.44444444496</v>
      </c>
      <c r="F50" s="19">
        <f t="shared" si="3"/>
        <v>2875.0000000000018</v>
      </c>
      <c r="G50" s="20"/>
      <c r="H50" s="3">
        <f t="shared" si="4"/>
        <v>40</v>
      </c>
      <c r="I50" s="18">
        <f t="shared" si="10"/>
        <v>470049.20473930013</v>
      </c>
      <c r="J50" s="18">
        <f t="shared" si="5"/>
        <v>1566.8306824643339</v>
      </c>
      <c r="K50" s="18">
        <f t="shared" si="6"/>
        <v>820.24579486296375</v>
      </c>
      <c r="L50" s="18">
        <f t="shared" si="7"/>
        <v>469228.95894443715</v>
      </c>
      <c r="M50" s="19">
        <f t="shared" si="8"/>
        <v>2387.0764773272977</v>
      </c>
    </row>
    <row r="51" spans="1:13" x14ac:dyDescent="0.25">
      <c r="A51" s="3">
        <f>IF(B51&lt;&gt;"",41,"")</f>
        <v>41</v>
      </c>
      <c r="B51" s="18">
        <f t="shared" si="9"/>
        <v>444444.44444444496</v>
      </c>
      <c r="C51" s="18">
        <f t="shared" si="0"/>
        <v>1481.4814814814833</v>
      </c>
      <c r="D51" s="18">
        <f t="shared" si="1"/>
        <v>1388.8888888888889</v>
      </c>
      <c r="E51" s="18">
        <f t="shared" si="2"/>
        <v>443055.55555555609</v>
      </c>
      <c r="F51" s="19">
        <f t="shared" si="3"/>
        <v>2870.3703703703723</v>
      </c>
      <c r="G51" s="20"/>
      <c r="H51" s="3">
        <f t="shared" si="4"/>
        <v>41</v>
      </c>
      <c r="I51" s="18">
        <f t="shared" si="10"/>
        <v>469228.95894443715</v>
      </c>
      <c r="J51" s="18">
        <f t="shared" si="5"/>
        <v>1564.0965298147905</v>
      </c>
      <c r="K51" s="18">
        <f t="shared" si="6"/>
        <v>822.97994751250712</v>
      </c>
      <c r="L51" s="18">
        <f t="shared" si="7"/>
        <v>468405.97899692465</v>
      </c>
      <c r="M51" s="19">
        <f t="shared" si="8"/>
        <v>2387.0764773272977</v>
      </c>
    </row>
    <row r="52" spans="1:13" x14ac:dyDescent="0.25">
      <c r="A52" s="3">
        <f>IF(B52&lt;&gt;"",42,"")</f>
        <v>42</v>
      </c>
      <c r="B52" s="18">
        <f t="shared" si="9"/>
        <v>443055.55555555609</v>
      </c>
      <c r="C52" s="18">
        <f t="shared" si="0"/>
        <v>1476.8518518518538</v>
      </c>
      <c r="D52" s="18">
        <f t="shared" si="1"/>
        <v>1388.8888888888889</v>
      </c>
      <c r="E52" s="18">
        <f t="shared" si="2"/>
        <v>441666.66666666721</v>
      </c>
      <c r="F52" s="19">
        <f t="shared" si="3"/>
        <v>2865.7407407407427</v>
      </c>
      <c r="G52" s="20"/>
      <c r="H52" s="3">
        <f t="shared" si="4"/>
        <v>42</v>
      </c>
      <c r="I52" s="18">
        <f t="shared" si="10"/>
        <v>468405.97899692465</v>
      </c>
      <c r="J52" s="18">
        <f t="shared" si="5"/>
        <v>1561.3532633230823</v>
      </c>
      <c r="K52" s="18">
        <f t="shared" si="6"/>
        <v>825.72321400421538</v>
      </c>
      <c r="L52" s="18">
        <f t="shared" si="7"/>
        <v>467580.25578292046</v>
      </c>
      <c r="M52" s="19">
        <f t="shared" si="8"/>
        <v>2387.0764773272977</v>
      </c>
    </row>
    <row r="53" spans="1:13" x14ac:dyDescent="0.25">
      <c r="A53" s="3">
        <f>IF(B53&lt;&gt;"",43,"")</f>
        <v>43</v>
      </c>
      <c r="B53" s="18">
        <f t="shared" si="9"/>
        <v>441666.66666666721</v>
      </c>
      <c r="C53" s="18">
        <f t="shared" si="0"/>
        <v>1472.2222222222242</v>
      </c>
      <c r="D53" s="18">
        <f t="shared" si="1"/>
        <v>1388.8888888888889</v>
      </c>
      <c r="E53" s="18">
        <f t="shared" si="2"/>
        <v>440277.77777777833</v>
      </c>
      <c r="F53" s="19">
        <f t="shared" si="3"/>
        <v>2861.1111111111131</v>
      </c>
      <c r="G53" s="20"/>
      <c r="H53" s="3">
        <f t="shared" si="4"/>
        <v>43</v>
      </c>
      <c r="I53" s="18">
        <f t="shared" si="10"/>
        <v>467580.25578292046</v>
      </c>
      <c r="J53" s="18">
        <f t="shared" si="5"/>
        <v>1558.6008526097348</v>
      </c>
      <c r="K53" s="18">
        <f t="shared" si="6"/>
        <v>828.47562471756282</v>
      </c>
      <c r="L53" s="18">
        <f t="shared" si="7"/>
        <v>466751.78015820292</v>
      </c>
      <c r="M53" s="19">
        <f t="shared" si="8"/>
        <v>2387.0764773272977</v>
      </c>
    </row>
    <row r="54" spans="1:13" x14ac:dyDescent="0.25">
      <c r="A54" s="3">
        <f>IF(B54&lt;&gt;"",44,"")</f>
        <v>44</v>
      </c>
      <c r="B54" s="18">
        <f t="shared" si="9"/>
        <v>440277.77777777833</v>
      </c>
      <c r="C54" s="18">
        <f t="shared" si="0"/>
        <v>1467.5925925925947</v>
      </c>
      <c r="D54" s="18">
        <f t="shared" si="1"/>
        <v>1388.8888888888889</v>
      </c>
      <c r="E54" s="18">
        <f t="shared" si="2"/>
        <v>438888.88888888946</v>
      </c>
      <c r="F54" s="19">
        <f t="shared" si="3"/>
        <v>2856.4814814814836</v>
      </c>
      <c r="G54" s="20"/>
      <c r="H54" s="3">
        <f t="shared" si="4"/>
        <v>44</v>
      </c>
      <c r="I54" s="18">
        <f t="shared" si="10"/>
        <v>466751.78015820292</v>
      </c>
      <c r="J54" s="18">
        <f t="shared" si="5"/>
        <v>1555.8392671940098</v>
      </c>
      <c r="K54" s="18">
        <f t="shared" si="6"/>
        <v>831.23721013328782</v>
      </c>
      <c r="L54" s="18">
        <f t="shared" si="7"/>
        <v>465920.54294806963</v>
      </c>
      <c r="M54" s="19">
        <f t="shared" si="8"/>
        <v>2387.0764773272977</v>
      </c>
    </row>
    <row r="55" spans="1:13" x14ac:dyDescent="0.25">
      <c r="A55" s="3">
        <f>IF(B55&lt;&gt;"",45,"")</f>
        <v>45</v>
      </c>
      <c r="B55" s="18">
        <f t="shared" si="9"/>
        <v>438888.88888888946</v>
      </c>
      <c r="C55" s="18">
        <f t="shared" si="0"/>
        <v>1462.9629629629651</v>
      </c>
      <c r="D55" s="18">
        <f t="shared" si="1"/>
        <v>1388.8888888888889</v>
      </c>
      <c r="E55" s="18">
        <f t="shared" si="2"/>
        <v>437500.00000000058</v>
      </c>
      <c r="F55" s="19">
        <f t="shared" si="3"/>
        <v>2851.851851851854</v>
      </c>
      <c r="G55" s="20"/>
      <c r="H55" s="3">
        <f t="shared" si="4"/>
        <v>45</v>
      </c>
      <c r="I55" s="18">
        <f t="shared" si="10"/>
        <v>465920.54294806963</v>
      </c>
      <c r="J55" s="18">
        <f t="shared" si="5"/>
        <v>1553.0684764935656</v>
      </c>
      <c r="K55" s="18">
        <f t="shared" si="6"/>
        <v>834.00800083373201</v>
      </c>
      <c r="L55" s="18">
        <f t="shared" si="7"/>
        <v>465086.53494723589</v>
      </c>
      <c r="M55" s="19">
        <f t="shared" si="8"/>
        <v>2387.0764773272977</v>
      </c>
    </row>
    <row r="56" spans="1:13" x14ac:dyDescent="0.25">
      <c r="A56" s="3">
        <f>IF(B56&lt;&gt;"",46,"")</f>
        <v>46</v>
      </c>
      <c r="B56" s="18">
        <f t="shared" si="9"/>
        <v>437500.00000000058</v>
      </c>
      <c r="C56" s="18">
        <f t="shared" si="0"/>
        <v>1458.3333333333351</v>
      </c>
      <c r="D56" s="18">
        <f t="shared" si="1"/>
        <v>1388.8888888888889</v>
      </c>
      <c r="E56" s="18">
        <f t="shared" si="2"/>
        <v>436111.11111111171</v>
      </c>
      <c r="F56" s="19">
        <f t="shared" si="3"/>
        <v>2847.222222222224</v>
      </c>
      <c r="G56" s="20"/>
      <c r="H56" s="3">
        <f t="shared" si="4"/>
        <v>46</v>
      </c>
      <c r="I56" s="18">
        <f t="shared" si="10"/>
        <v>465086.53494723589</v>
      </c>
      <c r="J56" s="18">
        <f t="shared" si="5"/>
        <v>1550.2884498241199</v>
      </c>
      <c r="K56" s="18">
        <f t="shared" si="6"/>
        <v>836.78802750317777</v>
      </c>
      <c r="L56" s="18">
        <f t="shared" si="7"/>
        <v>464249.74691973272</v>
      </c>
      <c r="M56" s="19">
        <f t="shared" si="8"/>
        <v>2387.0764773272977</v>
      </c>
    </row>
    <row r="57" spans="1:13" x14ac:dyDescent="0.25">
      <c r="A57" s="3">
        <f>IF(B57&lt;&gt;"",47,"")</f>
        <v>47</v>
      </c>
      <c r="B57" s="18">
        <f t="shared" si="9"/>
        <v>436111.11111111171</v>
      </c>
      <c r="C57" s="18">
        <f t="shared" si="0"/>
        <v>1453.7037037037055</v>
      </c>
      <c r="D57" s="18">
        <f t="shared" si="1"/>
        <v>1388.8888888888889</v>
      </c>
      <c r="E57" s="18">
        <f t="shared" si="2"/>
        <v>434722.22222222283</v>
      </c>
      <c r="F57" s="19">
        <f t="shared" si="3"/>
        <v>2842.5925925925944</v>
      </c>
      <c r="G57" s="20"/>
      <c r="H57" s="3">
        <f t="shared" si="4"/>
        <v>47</v>
      </c>
      <c r="I57" s="18">
        <f t="shared" si="10"/>
        <v>464249.74691973272</v>
      </c>
      <c r="J57" s="18">
        <f t="shared" si="5"/>
        <v>1547.4991563991091</v>
      </c>
      <c r="K57" s="18">
        <f t="shared" si="6"/>
        <v>839.57732092818856</v>
      </c>
      <c r="L57" s="18">
        <f t="shared" si="7"/>
        <v>463410.16959880455</v>
      </c>
      <c r="M57" s="19">
        <f t="shared" si="8"/>
        <v>2387.0764773272977</v>
      </c>
    </row>
    <row r="58" spans="1:13" x14ac:dyDescent="0.25">
      <c r="A58" s="3">
        <f>IF(B58&lt;&gt;"",48,"")</f>
        <v>48</v>
      </c>
      <c r="B58" s="18">
        <f t="shared" si="9"/>
        <v>434722.22222222283</v>
      </c>
      <c r="C58" s="18">
        <f t="shared" si="0"/>
        <v>1449.074074074076</v>
      </c>
      <c r="D58" s="18">
        <f t="shared" si="1"/>
        <v>1388.8888888888889</v>
      </c>
      <c r="E58" s="18">
        <f t="shared" si="2"/>
        <v>433333.33333333395</v>
      </c>
      <c r="F58" s="19">
        <f t="shared" si="3"/>
        <v>2837.9629629629649</v>
      </c>
      <c r="G58" s="20"/>
      <c r="H58" s="3">
        <f t="shared" si="4"/>
        <v>48</v>
      </c>
      <c r="I58" s="18">
        <f t="shared" si="10"/>
        <v>463410.16959880455</v>
      </c>
      <c r="J58" s="18">
        <f t="shared" si="5"/>
        <v>1544.7005653293484</v>
      </c>
      <c r="K58" s="18">
        <f t="shared" si="6"/>
        <v>842.37591199794929</v>
      </c>
      <c r="L58" s="18">
        <f t="shared" si="7"/>
        <v>462567.79368680663</v>
      </c>
      <c r="M58" s="19">
        <f t="shared" si="8"/>
        <v>2387.0764773272977</v>
      </c>
    </row>
    <row r="59" spans="1:13" x14ac:dyDescent="0.25">
      <c r="A59" s="3">
        <f>IF(B59&lt;&gt;"",49,"")</f>
        <v>49</v>
      </c>
      <c r="B59" s="18">
        <f t="shared" si="9"/>
        <v>433333.33333333395</v>
      </c>
      <c r="C59" s="18">
        <f t="shared" si="0"/>
        <v>1444.4444444444464</v>
      </c>
      <c r="D59" s="18">
        <f t="shared" si="1"/>
        <v>1388.8888888888889</v>
      </c>
      <c r="E59" s="18">
        <f t="shared" si="2"/>
        <v>431944.44444444508</v>
      </c>
      <c r="F59" s="19">
        <f t="shared" si="3"/>
        <v>2833.3333333333353</v>
      </c>
      <c r="G59" s="20"/>
      <c r="H59" s="3">
        <f t="shared" si="4"/>
        <v>49</v>
      </c>
      <c r="I59" s="18">
        <f t="shared" si="10"/>
        <v>462567.79368680663</v>
      </c>
      <c r="J59" s="18">
        <f t="shared" si="5"/>
        <v>1541.8926456226889</v>
      </c>
      <c r="K59" s="18">
        <f t="shared" si="6"/>
        <v>845.18383170460879</v>
      </c>
      <c r="L59" s="18">
        <f t="shared" si="7"/>
        <v>461722.60985510203</v>
      </c>
      <c r="M59" s="19">
        <f t="shared" si="8"/>
        <v>2387.0764773272977</v>
      </c>
    </row>
    <row r="60" spans="1:13" x14ac:dyDescent="0.25">
      <c r="A60" s="3">
        <f>IF(B60&lt;&gt;"",50,"")</f>
        <v>50</v>
      </c>
      <c r="B60" s="18">
        <f t="shared" si="9"/>
        <v>431944.44444444508</v>
      </c>
      <c r="C60" s="18">
        <f t="shared" si="0"/>
        <v>1439.8148148148168</v>
      </c>
      <c r="D60" s="18">
        <f t="shared" si="1"/>
        <v>1388.8888888888889</v>
      </c>
      <c r="E60" s="18">
        <f t="shared" si="2"/>
        <v>430555.5555555562</v>
      </c>
      <c r="F60" s="19">
        <f t="shared" si="3"/>
        <v>2828.7037037037057</v>
      </c>
      <c r="G60" s="20"/>
      <c r="H60" s="3">
        <f t="shared" si="4"/>
        <v>50</v>
      </c>
      <c r="I60" s="18">
        <f t="shared" si="10"/>
        <v>461722.60985510203</v>
      </c>
      <c r="J60" s="18">
        <f t="shared" si="5"/>
        <v>1539.0753661836734</v>
      </c>
      <c r="K60" s="18">
        <f t="shared" si="6"/>
        <v>848.00111114362426</v>
      </c>
      <c r="L60" s="18">
        <f t="shared" si="7"/>
        <v>460874.60874395841</v>
      </c>
      <c r="M60" s="19">
        <f t="shared" si="8"/>
        <v>2387.0764773272977</v>
      </c>
    </row>
    <row r="61" spans="1:13" x14ac:dyDescent="0.25">
      <c r="A61" s="3">
        <f>IF(B61&lt;&gt;"",51,"")</f>
        <v>51</v>
      </c>
      <c r="B61" s="18">
        <f t="shared" si="9"/>
        <v>430555.5555555562</v>
      </c>
      <c r="C61" s="18">
        <f t="shared" si="0"/>
        <v>1435.1851851851873</v>
      </c>
      <c r="D61" s="18">
        <f t="shared" si="1"/>
        <v>1388.8888888888889</v>
      </c>
      <c r="E61" s="18">
        <f t="shared" si="2"/>
        <v>429166.66666666733</v>
      </c>
      <c r="F61" s="19">
        <f t="shared" si="3"/>
        <v>2824.0740740740762</v>
      </c>
      <c r="G61" s="20"/>
      <c r="H61" s="3">
        <f t="shared" si="4"/>
        <v>51</v>
      </c>
      <c r="I61" s="18">
        <f t="shared" si="10"/>
        <v>460874.60874395841</v>
      </c>
      <c r="J61" s="18">
        <f t="shared" si="5"/>
        <v>1536.2486958131947</v>
      </c>
      <c r="K61" s="18">
        <f t="shared" si="6"/>
        <v>850.82778151410298</v>
      </c>
      <c r="L61" s="18">
        <f t="shared" si="7"/>
        <v>460023.78096244432</v>
      </c>
      <c r="M61" s="19">
        <f t="shared" si="8"/>
        <v>2387.0764773272977</v>
      </c>
    </row>
    <row r="62" spans="1:13" x14ac:dyDescent="0.25">
      <c r="A62" s="3">
        <f>IF(B62&lt;&gt;"",52,"")</f>
        <v>52</v>
      </c>
      <c r="B62" s="18">
        <f t="shared" si="9"/>
        <v>429166.66666666733</v>
      </c>
      <c r="C62" s="18">
        <f t="shared" si="0"/>
        <v>1430.5555555555577</v>
      </c>
      <c r="D62" s="18">
        <f t="shared" si="1"/>
        <v>1388.8888888888889</v>
      </c>
      <c r="E62" s="18">
        <f t="shared" si="2"/>
        <v>427777.77777777845</v>
      </c>
      <c r="F62" s="19">
        <f t="shared" si="3"/>
        <v>2819.4444444444466</v>
      </c>
      <c r="G62" s="20"/>
      <c r="H62" s="3">
        <f t="shared" si="4"/>
        <v>52</v>
      </c>
      <c r="I62" s="18">
        <f t="shared" si="10"/>
        <v>460023.78096244432</v>
      </c>
      <c r="J62" s="18">
        <f t="shared" si="5"/>
        <v>1533.4126032081476</v>
      </c>
      <c r="K62" s="18">
        <f t="shared" si="6"/>
        <v>853.66387411915002</v>
      </c>
      <c r="L62" s="18">
        <f t="shared" si="7"/>
        <v>459170.11708832515</v>
      </c>
      <c r="M62" s="19">
        <f t="shared" si="8"/>
        <v>2387.0764773272977</v>
      </c>
    </row>
    <row r="63" spans="1:13" x14ac:dyDescent="0.25">
      <c r="A63" s="3">
        <f>IF(B63&lt;&gt;"",53,"")</f>
        <v>53</v>
      </c>
      <c r="B63" s="18">
        <f t="shared" si="9"/>
        <v>427777.77777777845</v>
      </c>
      <c r="C63" s="18">
        <f t="shared" si="0"/>
        <v>1425.9259259259281</v>
      </c>
      <c r="D63" s="18">
        <f t="shared" si="1"/>
        <v>1388.8888888888889</v>
      </c>
      <c r="E63" s="18">
        <f t="shared" si="2"/>
        <v>426388.88888888957</v>
      </c>
      <c r="F63" s="19">
        <f t="shared" si="3"/>
        <v>2814.8148148148171</v>
      </c>
      <c r="G63" s="20"/>
      <c r="H63" s="3">
        <f t="shared" si="4"/>
        <v>53</v>
      </c>
      <c r="I63" s="18">
        <f t="shared" si="10"/>
        <v>459170.11708832515</v>
      </c>
      <c r="J63" s="18">
        <f t="shared" si="5"/>
        <v>1530.5670569610838</v>
      </c>
      <c r="K63" s="18">
        <f t="shared" si="6"/>
        <v>856.50942036621382</v>
      </c>
      <c r="L63" s="18">
        <f t="shared" si="7"/>
        <v>458313.60766795895</v>
      </c>
      <c r="M63" s="19">
        <f t="shared" si="8"/>
        <v>2387.0764773272977</v>
      </c>
    </row>
    <row r="64" spans="1:13" x14ac:dyDescent="0.25">
      <c r="A64" s="3">
        <f>IF(B64&lt;&gt;"",54,"")</f>
        <v>54</v>
      </c>
      <c r="B64" s="18">
        <f t="shared" si="9"/>
        <v>426388.88888888957</v>
      </c>
      <c r="C64" s="18">
        <f t="shared" si="0"/>
        <v>1421.2962962962986</v>
      </c>
      <c r="D64" s="18">
        <f t="shared" si="1"/>
        <v>1388.8888888888889</v>
      </c>
      <c r="E64" s="18">
        <f t="shared" si="2"/>
        <v>425000.0000000007</v>
      </c>
      <c r="F64" s="19">
        <f t="shared" si="3"/>
        <v>2810.1851851851875</v>
      </c>
      <c r="G64" s="20"/>
      <c r="H64" s="3">
        <f t="shared" si="4"/>
        <v>54</v>
      </c>
      <c r="I64" s="18">
        <f t="shared" si="10"/>
        <v>458313.60766795895</v>
      </c>
      <c r="J64" s="18">
        <f t="shared" si="5"/>
        <v>1527.7120255598632</v>
      </c>
      <c r="K64" s="18">
        <f t="shared" si="6"/>
        <v>859.3644517674345</v>
      </c>
      <c r="L64" s="18">
        <f t="shared" si="7"/>
        <v>457454.24321619153</v>
      </c>
      <c r="M64" s="19">
        <f t="shared" si="8"/>
        <v>2387.0764773272977</v>
      </c>
    </row>
    <row r="65" spans="1:13" x14ac:dyDescent="0.25">
      <c r="A65" s="3">
        <f>IF(B65&lt;&gt;"",55,"")</f>
        <v>55</v>
      </c>
      <c r="B65" s="18">
        <f t="shared" si="9"/>
        <v>425000.0000000007</v>
      </c>
      <c r="C65" s="18">
        <f t="shared" si="0"/>
        <v>1416.666666666669</v>
      </c>
      <c r="D65" s="18">
        <f t="shared" si="1"/>
        <v>1388.8888888888889</v>
      </c>
      <c r="E65" s="18">
        <f t="shared" si="2"/>
        <v>423611.11111111182</v>
      </c>
      <c r="F65" s="19">
        <f t="shared" si="3"/>
        <v>2805.5555555555579</v>
      </c>
      <c r="G65" s="20"/>
      <c r="H65" s="3">
        <f t="shared" si="4"/>
        <v>55</v>
      </c>
      <c r="I65" s="18">
        <f t="shared" si="10"/>
        <v>457454.24321619153</v>
      </c>
      <c r="J65" s="18">
        <f t="shared" si="5"/>
        <v>1524.8474773873052</v>
      </c>
      <c r="K65" s="18">
        <f t="shared" si="6"/>
        <v>862.22899993999249</v>
      </c>
      <c r="L65" s="18">
        <f t="shared" si="7"/>
        <v>456592.01421625155</v>
      </c>
      <c r="M65" s="19">
        <f t="shared" si="8"/>
        <v>2387.0764773272977</v>
      </c>
    </row>
    <row r="66" spans="1:13" x14ac:dyDescent="0.25">
      <c r="A66" s="3">
        <f>IF(B66&lt;&gt;"",56,"")</f>
        <v>56</v>
      </c>
      <c r="B66" s="18">
        <f t="shared" si="9"/>
        <v>423611.11111111182</v>
      </c>
      <c r="C66" s="18">
        <f t="shared" si="0"/>
        <v>1412.0370370370395</v>
      </c>
      <c r="D66" s="18">
        <f t="shared" si="1"/>
        <v>1388.8888888888889</v>
      </c>
      <c r="E66" s="18">
        <f t="shared" si="2"/>
        <v>422222.22222222295</v>
      </c>
      <c r="F66" s="19">
        <f t="shared" si="3"/>
        <v>2800.9259259259284</v>
      </c>
      <c r="G66" s="20"/>
      <c r="H66" s="3">
        <f t="shared" si="4"/>
        <v>56</v>
      </c>
      <c r="I66" s="18">
        <f t="shared" si="10"/>
        <v>456592.01421625155</v>
      </c>
      <c r="J66" s="18">
        <f t="shared" si="5"/>
        <v>1521.9733807208386</v>
      </c>
      <c r="K66" s="18">
        <f t="shared" si="6"/>
        <v>865.10309660645908</v>
      </c>
      <c r="L66" s="18">
        <f t="shared" si="7"/>
        <v>455726.91111964511</v>
      </c>
      <c r="M66" s="19">
        <f t="shared" si="8"/>
        <v>2387.0764773272977</v>
      </c>
    </row>
    <row r="67" spans="1:13" x14ac:dyDescent="0.25">
      <c r="A67" s="3">
        <f>IF(B67&lt;&gt;"",57,"")</f>
        <v>57</v>
      </c>
      <c r="B67" s="18">
        <f t="shared" si="9"/>
        <v>422222.22222222295</v>
      </c>
      <c r="C67" s="18">
        <f t="shared" si="0"/>
        <v>1407.4074074074099</v>
      </c>
      <c r="D67" s="18">
        <f t="shared" si="1"/>
        <v>1388.8888888888889</v>
      </c>
      <c r="E67" s="18">
        <f t="shared" si="2"/>
        <v>420833.33333333407</v>
      </c>
      <c r="F67" s="19">
        <f t="shared" si="3"/>
        <v>2796.2962962962988</v>
      </c>
      <c r="G67" s="20"/>
      <c r="H67" s="3">
        <f t="shared" si="4"/>
        <v>57</v>
      </c>
      <c r="I67" s="18">
        <f t="shared" si="10"/>
        <v>455726.91111964511</v>
      </c>
      <c r="J67" s="18">
        <f t="shared" si="5"/>
        <v>1519.0897037321504</v>
      </c>
      <c r="K67" s="18">
        <f t="shared" si="6"/>
        <v>867.98677359514727</v>
      </c>
      <c r="L67" s="18">
        <f t="shared" si="7"/>
        <v>454858.92434604996</v>
      </c>
      <c r="M67" s="19">
        <f t="shared" si="8"/>
        <v>2387.0764773272977</v>
      </c>
    </row>
    <row r="68" spans="1:13" x14ac:dyDescent="0.25">
      <c r="A68" s="3">
        <f>IF(B68&lt;&gt;"",58,"")</f>
        <v>58</v>
      </c>
      <c r="B68" s="18">
        <f t="shared" si="9"/>
        <v>420833.33333333407</v>
      </c>
      <c r="C68" s="18">
        <f t="shared" si="0"/>
        <v>1402.7777777777803</v>
      </c>
      <c r="D68" s="18">
        <f t="shared" si="1"/>
        <v>1388.8888888888889</v>
      </c>
      <c r="E68" s="18">
        <f t="shared" si="2"/>
        <v>419444.44444444519</v>
      </c>
      <c r="F68" s="19">
        <f t="shared" si="3"/>
        <v>2791.6666666666692</v>
      </c>
      <c r="G68" s="20"/>
      <c r="H68" s="3">
        <f t="shared" si="4"/>
        <v>58</v>
      </c>
      <c r="I68" s="18">
        <f t="shared" si="10"/>
        <v>454858.92434604996</v>
      </c>
      <c r="J68" s="18">
        <f t="shared" si="5"/>
        <v>1516.1964144868332</v>
      </c>
      <c r="K68" s="18">
        <f t="shared" si="6"/>
        <v>870.88006284046446</v>
      </c>
      <c r="L68" s="18">
        <f t="shared" si="7"/>
        <v>453988.04428320949</v>
      </c>
      <c r="M68" s="19">
        <f t="shared" si="8"/>
        <v>2387.0764773272977</v>
      </c>
    </row>
    <row r="69" spans="1:13" x14ac:dyDescent="0.25">
      <c r="A69" s="3">
        <f>IF(B69&lt;&gt;"",59,"")</f>
        <v>59</v>
      </c>
      <c r="B69" s="18">
        <f t="shared" si="9"/>
        <v>419444.44444444519</v>
      </c>
      <c r="C69" s="18">
        <f t="shared" si="0"/>
        <v>1398.1481481481505</v>
      </c>
      <c r="D69" s="18">
        <f t="shared" si="1"/>
        <v>1388.8888888888889</v>
      </c>
      <c r="E69" s="18">
        <f t="shared" si="2"/>
        <v>418055.55555555632</v>
      </c>
      <c r="F69" s="19">
        <f t="shared" si="3"/>
        <v>2787.0370370370392</v>
      </c>
      <c r="G69" s="20"/>
      <c r="H69" s="3">
        <f t="shared" si="4"/>
        <v>59</v>
      </c>
      <c r="I69" s="18">
        <f t="shared" si="10"/>
        <v>453988.04428320949</v>
      </c>
      <c r="J69" s="18">
        <f t="shared" si="5"/>
        <v>1513.2934809440314</v>
      </c>
      <c r="K69" s="18">
        <f t="shared" si="6"/>
        <v>873.78299638326621</v>
      </c>
      <c r="L69" s="18">
        <f t="shared" si="7"/>
        <v>453114.26128682622</v>
      </c>
      <c r="M69" s="19">
        <f t="shared" si="8"/>
        <v>2387.0764773272977</v>
      </c>
    </row>
    <row r="70" spans="1:13" x14ac:dyDescent="0.25">
      <c r="A70" s="3">
        <f>IF(B70&lt;&gt;"",60,"")</f>
        <v>60</v>
      </c>
      <c r="B70" s="18">
        <f t="shared" si="9"/>
        <v>418055.55555555632</v>
      </c>
      <c r="C70" s="18">
        <f t="shared" si="0"/>
        <v>1393.518518518521</v>
      </c>
      <c r="D70" s="18">
        <f t="shared" si="1"/>
        <v>1388.8888888888889</v>
      </c>
      <c r="E70" s="18">
        <f t="shared" si="2"/>
        <v>416666.66666666744</v>
      </c>
      <c r="F70" s="19">
        <f t="shared" si="3"/>
        <v>2782.4074074074097</v>
      </c>
      <c r="G70" s="20"/>
      <c r="H70" s="3">
        <f t="shared" si="4"/>
        <v>60</v>
      </c>
      <c r="I70" s="18">
        <f t="shared" si="10"/>
        <v>453114.26128682622</v>
      </c>
      <c r="J70" s="18">
        <f t="shared" si="5"/>
        <v>1510.3808709560874</v>
      </c>
      <c r="K70" s="18">
        <f t="shared" si="6"/>
        <v>876.69560637121026</v>
      </c>
      <c r="L70" s="18">
        <f t="shared" si="7"/>
        <v>452237.56568045501</v>
      </c>
      <c r="M70" s="19">
        <f t="shared" si="8"/>
        <v>2387.0764773272977</v>
      </c>
    </row>
    <row r="71" spans="1:13" x14ac:dyDescent="0.25">
      <c r="A71" s="3">
        <f>IF(B71&lt;&gt;"",61,"")</f>
        <v>61</v>
      </c>
      <c r="B71" s="18">
        <f t="shared" si="9"/>
        <v>416666.66666666744</v>
      </c>
      <c r="C71" s="18">
        <f t="shared" si="0"/>
        <v>1388.8888888888914</v>
      </c>
      <c r="D71" s="18">
        <f t="shared" si="1"/>
        <v>1388.8888888888889</v>
      </c>
      <c r="E71" s="18">
        <f t="shared" si="2"/>
        <v>415277.77777777857</v>
      </c>
      <c r="F71" s="19">
        <f t="shared" si="3"/>
        <v>2777.7777777777801</v>
      </c>
      <c r="G71" s="20"/>
      <c r="H71" s="3">
        <f t="shared" si="4"/>
        <v>61</v>
      </c>
      <c r="I71" s="18">
        <f t="shared" si="10"/>
        <v>452237.56568045501</v>
      </c>
      <c r="J71" s="18">
        <f t="shared" si="5"/>
        <v>1507.4585522681834</v>
      </c>
      <c r="K71" s="18">
        <f t="shared" si="6"/>
        <v>879.61792505911421</v>
      </c>
      <c r="L71" s="18">
        <f t="shared" si="7"/>
        <v>451357.9477553959</v>
      </c>
      <c r="M71" s="19">
        <f t="shared" si="8"/>
        <v>2387.0764773272977</v>
      </c>
    </row>
    <row r="72" spans="1:13" x14ac:dyDescent="0.25">
      <c r="A72" s="3">
        <f>IF(B72&lt;&gt;"",62,"")</f>
        <v>62</v>
      </c>
      <c r="B72" s="18">
        <f t="shared" si="9"/>
        <v>415277.77777777857</v>
      </c>
      <c r="C72" s="18">
        <f t="shared" si="0"/>
        <v>1384.2592592592619</v>
      </c>
      <c r="D72" s="18">
        <f t="shared" si="1"/>
        <v>1388.8888888888889</v>
      </c>
      <c r="E72" s="18">
        <f t="shared" si="2"/>
        <v>413888.88888888969</v>
      </c>
      <c r="F72" s="19">
        <f t="shared" si="3"/>
        <v>2773.1481481481505</v>
      </c>
      <c r="G72" s="20"/>
      <c r="H72" s="3">
        <f t="shared" si="4"/>
        <v>62</v>
      </c>
      <c r="I72" s="18">
        <f t="shared" si="10"/>
        <v>451357.9477553959</v>
      </c>
      <c r="J72" s="18">
        <f t="shared" si="5"/>
        <v>1504.5264925179863</v>
      </c>
      <c r="K72" s="18">
        <f t="shared" si="6"/>
        <v>882.54998480931135</v>
      </c>
      <c r="L72" s="18">
        <f t="shared" si="7"/>
        <v>450475.3977705866</v>
      </c>
      <c r="M72" s="19">
        <f t="shared" si="8"/>
        <v>2387.0764773272977</v>
      </c>
    </row>
    <row r="73" spans="1:13" x14ac:dyDescent="0.25">
      <c r="A73" s="3">
        <f>IF(B73&lt;&gt;"",63,"")</f>
        <v>63</v>
      </c>
      <c r="B73" s="18">
        <f t="shared" si="9"/>
        <v>413888.88888888969</v>
      </c>
      <c r="C73" s="18">
        <f t="shared" si="0"/>
        <v>1379.6296296296323</v>
      </c>
      <c r="D73" s="18">
        <f t="shared" si="1"/>
        <v>1388.8888888888889</v>
      </c>
      <c r="E73" s="18">
        <f t="shared" si="2"/>
        <v>412500.00000000081</v>
      </c>
      <c r="F73" s="19">
        <f t="shared" si="3"/>
        <v>2768.518518518521</v>
      </c>
      <c r="G73" s="20"/>
      <c r="H73" s="3">
        <f t="shared" si="4"/>
        <v>63</v>
      </c>
      <c r="I73" s="18">
        <f t="shared" si="10"/>
        <v>450475.3977705866</v>
      </c>
      <c r="J73" s="18">
        <f t="shared" si="5"/>
        <v>1501.5846592352889</v>
      </c>
      <c r="K73" s="18">
        <f t="shared" si="6"/>
        <v>885.49181809200877</v>
      </c>
      <c r="L73" s="18">
        <f t="shared" si="7"/>
        <v>449589.90595249459</v>
      </c>
      <c r="M73" s="19">
        <f t="shared" si="8"/>
        <v>2387.0764773272977</v>
      </c>
    </row>
    <row r="74" spans="1:13" x14ac:dyDescent="0.25">
      <c r="A74" s="3">
        <f>IF(B74&lt;&gt;"",64,"")</f>
        <v>64</v>
      </c>
      <c r="B74" s="18">
        <f t="shared" si="9"/>
        <v>412500.00000000081</v>
      </c>
      <c r="C74" s="18">
        <f t="shared" si="0"/>
        <v>1375.0000000000027</v>
      </c>
      <c r="D74" s="18">
        <f t="shared" si="1"/>
        <v>1388.8888888888889</v>
      </c>
      <c r="E74" s="18">
        <f t="shared" si="2"/>
        <v>411111.11111111194</v>
      </c>
      <c r="F74" s="19">
        <f t="shared" si="3"/>
        <v>2763.8888888888914</v>
      </c>
      <c r="G74" s="20"/>
      <c r="H74" s="3">
        <f t="shared" si="4"/>
        <v>64</v>
      </c>
      <c r="I74" s="18">
        <f t="shared" si="10"/>
        <v>449589.90595249459</v>
      </c>
      <c r="J74" s="18">
        <f t="shared" si="5"/>
        <v>1498.6330198416488</v>
      </c>
      <c r="K74" s="18">
        <f t="shared" si="6"/>
        <v>888.44345748564888</v>
      </c>
      <c r="L74" s="18">
        <f t="shared" si="7"/>
        <v>448701.46249500895</v>
      </c>
      <c r="M74" s="19">
        <f t="shared" si="8"/>
        <v>2387.0764773272977</v>
      </c>
    </row>
    <row r="75" spans="1:13" x14ac:dyDescent="0.25">
      <c r="A75" s="3">
        <f>IF(B75&lt;&gt;"",65,"")</f>
        <v>65</v>
      </c>
      <c r="B75" s="18">
        <f t="shared" si="9"/>
        <v>411111.11111111194</v>
      </c>
      <c r="C75" s="18">
        <f t="shared" si="0"/>
        <v>1370.3703703703732</v>
      </c>
      <c r="D75" s="18">
        <f t="shared" si="1"/>
        <v>1388.8888888888889</v>
      </c>
      <c r="E75" s="18">
        <f t="shared" si="2"/>
        <v>409722.22222222306</v>
      </c>
      <c r="F75" s="19">
        <f t="shared" si="3"/>
        <v>2759.2592592592619</v>
      </c>
      <c r="G75" s="20"/>
      <c r="H75" s="3">
        <f t="shared" si="4"/>
        <v>65</v>
      </c>
      <c r="I75" s="18">
        <f t="shared" si="10"/>
        <v>448701.46249500895</v>
      </c>
      <c r="J75" s="18">
        <f t="shared" si="5"/>
        <v>1495.6715416500299</v>
      </c>
      <c r="K75" s="18">
        <f t="shared" si="6"/>
        <v>891.40493567726776</v>
      </c>
      <c r="L75" s="18">
        <f t="shared" si="7"/>
        <v>447810.0575593317</v>
      </c>
      <c r="M75" s="19">
        <f t="shared" si="8"/>
        <v>2387.0764773272977</v>
      </c>
    </row>
    <row r="76" spans="1:13" x14ac:dyDescent="0.25">
      <c r="A76" s="3">
        <f>IF(B76&lt;&gt;"",66,"")</f>
        <v>66</v>
      </c>
      <c r="B76" s="18">
        <f t="shared" si="9"/>
        <v>409722.22222222306</v>
      </c>
      <c r="C76" s="18">
        <f t="shared" ref="C76:C139" si="11">IFERROR(B76*$G$4/12,"")</f>
        <v>1365.7407407407436</v>
      </c>
      <c r="D76" s="18">
        <f t="shared" ref="D76:D139" si="12">IF(A76&lt;&gt;"",$G$3/$G$5,"")</f>
        <v>1388.8888888888889</v>
      </c>
      <c r="E76" s="18">
        <f t="shared" ref="E76:E139" si="13">IF(A76&lt;&gt;"",B76-D76,"")</f>
        <v>408333.33333333419</v>
      </c>
      <c r="F76" s="19">
        <f t="shared" ref="F76:F139" si="14">IF(A76&lt;&gt;"",C76+D76,"")</f>
        <v>2754.6296296296323</v>
      </c>
      <c r="G76" s="20"/>
      <c r="H76" s="3">
        <f t="shared" ref="H76:H139" si="15">A76</f>
        <v>66</v>
      </c>
      <c r="I76" s="18">
        <f t="shared" si="10"/>
        <v>447810.0575593317</v>
      </c>
      <c r="J76" s="18">
        <f t="shared" ref="J76:J139" si="16">IFERROR(I76*$G$4/12,"")</f>
        <v>1492.7001918644391</v>
      </c>
      <c r="K76" s="18">
        <f t="shared" ref="K76:K139" si="17">IFERROR(M76-J76,"")</f>
        <v>894.3762854628585</v>
      </c>
      <c r="L76" s="18">
        <f t="shared" ref="L76:L139" si="18">IFERROR(I76-K76,"")</f>
        <v>446915.68127386883</v>
      </c>
      <c r="M76" s="19">
        <f t="shared" ref="M76:M139" si="19">IF(H76&lt;&gt;"",-PMT($G$4/12,$G$5,$G$3),"")</f>
        <v>2387.0764773272977</v>
      </c>
    </row>
    <row r="77" spans="1:13" x14ac:dyDescent="0.25">
      <c r="A77" s="3">
        <f>IF(B77&lt;&gt;"",67,"")</f>
        <v>67</v>
      </c>
      <c r="B77" s="18">
        <f t="shared" ref="B77:B140" si="20">IFERROR(IF(B76-D76&gt;=0.01,B76-D76,""),"")</f>
        <v>408333.33333333419</v>
      </c>
      <c r="C77" s="18">
        <f t="shared" si="11"/>
        <v>1361.111111111114</v>
      </c>
      <c r="D77" s="18">
        <f t="shared" si="12"/>
        <v>1388.8888888888889</v>
      </c>
      <c r="E77" s="18">
        <f t="shared" si="13"/>
        <v>406944.44444444531</v>
      </c>
      <c r="F77" s="19">
        <f t="shared" si="14"/>
        <v>2750.0000000000027</v>
      </c>
      <c r="G77" s="20"/>
      <c r="H77" s="3">
        <f t="shared" si="15"/>
        <v>67</v>
      </c>
      <c r="I77" s="18">
        <f t="shared" ref="I77:I140" si="21">IFERROR(IF(I76-K76&gt;=0.01,I76-K76,""),"")</f>
        <v>446915.68127386883</v>
      </c>
      <c r="J77" s="18">
        <f t="shared" si="16"/>
        <v>1489.7189375795626</v>
      </c>
      <c r="K77" s="18">
        <f t="shared" si="17"/>
        <v>897.35753974773502</v>
      </c>
      <c r="L77" s="18">
        <f t="shared" si="18"/>
        <v>446018.32373412111</v>
      </c>
      <c r="M77" s="19">
        <f t="shared" si="19"/>
        <v>2387.0764773272977</v>
      </c>
    </row>
    <row r="78" spans="1:13" x14ac:dyDescent="0.25">
      <c r="A78" s="3">
        <f>IF(B78&lt;&gt;"",68,"")</f>
        <v>68</v>
      </c>
      <c r="B78" s="18">
        <f t="shared" si="20"/>
        <v>406944.44444444531</v>
      </c>
      <c r="C78" s="18">
        <f t="shared" si="11"/>
        <v>1356.4814814814843</v>
      </c>
      <c r="D78" s="18">
        <f t="shared" si="12"/>
        <v>1388.8888888888889</v>
      </c>
      <c r="E78" s="18">
        <f t="shared" si="13"/>
        <v>405555.55555555644</v>
      </c>
      <c r="F78" s="19">
        <f t="shared" si="14"/>
        <v>2745.3703703703732</v>
      </c>
      <c r="G78" s="20"/>
      <c r="H78" s="3">
        <f t="shared" si="15"/>
        <v>68</v>
      </c>
      <c r="I78" s="18">
        <f t="shared" si="21"/>
        <v>446018.32373412111</v>
      </c>
      <c r="J78" s="18">
        <f t="shared" si="16"/>
        <v>1486.7277457804037</v>
      </c>
      <c r="K78" s="18">
        <f t="shared" si="17"/>
        <v>900.34873154689399</v>
      </c>
      <c r="L78" s="18">
        <f t="shared" si="18"/>
        <v>445117.97500257421</v>
      </c>
      <c r="M78" s="19">
        <f t="shared" si="19"/>
        <v>2387.0764773272977</v>
      </c>
    </row>
    <row r="79" spans="1:13" x14ac:dyDescent="0.25">
      <c r="A79" s="3">
        <f>IF(B79&lt;&gt;"",69,"")</f>
        <v>69</v>
      </c>
      <c r="B79" s="18">
        <f t="shared" si="20"/>
        <v>405555.55555555644</v>
      </c>
      <c r="C79" s="18">
        <f t="shared" si="11"/>
        <v>1351.8518518518547</v>
      </c>
      <c r="D79" s="18">
        <f t="shared" si="12"/>
        <v>1388.8888888888889</v>
      </c>
      <c r="E79" s="18">
        <f t="shared" si="13"/>
        <v>404166.66666666756</v>
      </c>
      <c r="F79" s="19">
        <f t="shared" si="14"/>
        <v>2740.7407407407436</v>
      </c>
      <c r="G79" s="20"/>
      <c r="H79" s="3">
        <f t="shared" si="15"/>
        <v>69</v>
      </c>
      <c r="I79" s="18">
        <f t="shared" si="21"/>
        <v>445117.97500257421</v>
      </c>
      <c r="J79" s="18">
        <f t="shared" si="16"/>
        <v>1483.7265833419142</v>
      </c>
      <c r="K79" s="18">
        <f t="shared" si="17"/>
        <v>903.34989398538346</v>
      </c>
      <c r="L79" s="18">
        <f t="shared" si="18"/>
        <v>444214.62510858884</v>
      </c>
      <c r="M79" s="19">
        <f t="shared" si="19"/>
        <v>2387.0764773272977</v>
      </c>
    </row>
    <row r="80" spans="1:13" x14ac:dyDescent="0.25">
      <c r="A80" s="3">
        <f>IF(B80&lt;&gt;"",70,"")</f>
        <v>70</v>
      </c>
      <c r="B80" s="18">
        <f t="shared" si="20"/>
        <v>404166.66666666756</v>
      </c>
      <c r="C80" s="18">
        <f t="shared" si="11"/>
        <v>1347.2222222222251</v>
      </c>
      <c r="D80" s="18">
        <f t="shared" si="12"/>
        <v>1388.8888888888889</v>
      </c>
      <c r="E80" s="18">
        <f t="shared" si="13"/>
        <v>402777.77777777868</v>
      </c>
      <c r="F80" s="19">
        <f t="shared" si="14"/>
        <v>2736.111111111114</v>
      </c>
      <c r="G80" s="20"/>
      <c r="H80" s="3">
        <f t="shared" si="15"/>
        <v>70</v>
      </c>
      <c r="I80" s="18">
        <f t="shared" si="21"/>
        <v>444214.62510858884</v>
      </c>
      <c r="J80" s="18">
        <f t="shared" si="16"/>
        <v>1480.7154170286294</v>
      </c>
      <c r="K80" s="18">
        <f t="shared" si="17"/>
        <v>906.36106029866824</v>
      </c>
      <c r="L80" s="18">
        <f t="shared" si="18"/>
        <v>443308.26404829015</v>
      </c>
      <c r="M80" s="19">
        <f t="shared" si="19"/>
        <v>2387.0764773272977</v>
      </c>
    </row>
    <row r="81" spans="1:13" x14ac:dyDescent="0.25">
      <c r="A81" s="3">
        <f>IF(B81&lt;&gt;"",71,"")</f>
        <v>71</v>
      </c>
      <c r="B81" s="18">
        <f t="shared" si="20"/>
        <v>402777.77777777868</v>
      </c>
      <c r="C81" s="18">
        <f t="shared" si="11"/>
        <v>1342.5925925925956</v>
      </c>
      <c r="D81" s="18">
        <f t="shared" si="12"/>
        <v>1388.8888888888889</v>
      </c>
      <c r="E81" s="18">
        <f t="shared" si="13"/>
        <v>401388.88888888981</v>
      </c>
      <c r="F81" s="19">
        <f t="shared" si="14"/>
        <v>2731.4814814814845</v>
      </c>
      <c r="G81" s="20"/>
      <c r="H81" s="3">
        <f t="shared" si="15"/>
        <v>71</v>
      </c>
      <c r="I81" s="18">
        <f t="shared" si="21"/>
        <v>443308.26404829015</v>
      </c>
      <c r="J81" s="18">
        <f t="shared" si="16"/>
        <v>1477.6942134943004</v>
      </c>
      <c r="K81" s="18">
        <f t="shared" si="17"/>
        <v>909.3822638329973</v>
      </c>
      <c r="L81" s="18">
        <f t="shared" si="18"/>
        <v>442398.88178445713</v>
      </c>
      <c r="M81" s="19">
        <f t="shared" si="19"/>
        <v>2387.0764773272977</v>
      </c>
    </row>
    <row r="82" spans="1:13" x14ac:dyDescent="0.25">
      <c r="A82" s="3">
        <f>IF(B82&lt;&gt;"",72,"")</f>
        <v>72</v>
      </c>
      <c r="B82" s="18">
        <f t="shared" si="20"/>
        <v>401388.88888888981</v>
      </c>
      <c r="C82" s="18">
        <f t="shared" si="11"/>
        <v>1337.962962962966</v>
      </c>
      <c r="D82" s="18">
        <f t="shared" si="12"/>
        <v>1388.8888888888889</v>
      </c>
      <c r="E82" s="18">
        <f t="shared" si="13"/>
        <v>400000.00000000093</v>
      </c>
      <c r="F82" s="19">
        <f t="shared" si="14"/>
        <v>2726.8518518518549</v>
      </c>
      <c r="G82" s="20"/>
      <c r="H82" s="3">
        <f t="shared" si="15"/>
        <v>72</v>
      </c>
      <c r="I82" s="18">
        <f t="shared" si="21"/>
        <v>442398.88178445713</v>
      </c>
      <c r="J82" s="18">
        <f t="shared" si="16"/>
        <v>1474.6629392815239</v>
      </c>
      <c r="K82" s="18">
        <f t="shared" si="17"/>
        <v>912.41353804577375</v>
      </c>
      <c r="L82" s="18">
        <f t="shared" si="18"/>
        <v>441486.46824641136</v>
      </c>
      <c r="M82" s="19">
        <f t="shared" si="19"/>
        <v>2387.0764773272977</v>
      </c>
    </row>
    <row r="83" spans="1:13" x14ac:dyDescent="0.25">
      <c r="A83" s="3">
        <f>IF(B83&lt;&gt;"",73,"")</f>
        <v>73</v>
      </c>
      <c r="B83" s="18">
        <f t="shared" si="20"/>
        <v>400000.00000000093</v>
      </c>
      <c r="C83" s="18">
        <f t="shared" si="11"/>
        <v>1333.3333333333364</v>
      </c>
      <c r="D83" s="18">
        <f t="shared" si="12"/>
        <v>1388.8888888888889</v>
      </c>
      <c r="E83" s="18">
        <f t="shared" si="13"/>
        <v>398611.11111111206</v>
      </c>
      <c r="F83" s="19">
        <f t="shared" si="14"/>
        <v>2722.2222222222254</v>
      </c>
      <c r="G83" s="20"/>
      <c r="H83" s="3">
        <f t="shared" si="15"/>
        <v>73</v>
      </c>
      <c r="I83" s="18">
        <f t="shared" si="21"/>
        <v>441486.46824641136</v>
      </c>
      <c r="J83" s="18">
        <f t="shared" si="16"/>
        <v>1471.6215608213713</v>
      </c>
      <c r="K83" s="18">
        <f t="shared" si="17"/>
        <v>915.45491650592635</v>
      </c>
      <c r="L83" s="18">
        <f t="shared" si="18"/>
        <v>440571.01332990546</v>
      </c>
      <c r="M83" s="19">
        <f t="shared" si="19"/>
        <v>2387.0764773272977</v>
      </c>
    </row>
    <row r="84" spans="1:13" x14ac:dyDescent="0.25">
      <c r="A84" s="3">
        <f>IF(B84&lt;&gt;"",74,"")</f>
        <v>74</v>
      </c>
      <c r="B84" s="18">
        <f t="shared" si="20"/>
        <v>398611.11111111206</v>
      </c>
      <c r="C84" s="18">
        <f t="shared" si="11"/>
        <v>1328.7037037037069</v>
      </c>
      <c r="D84" s="18">
        <f t="shared" si="12"/>
        <v>1388.8888888888889</v>
      </c>
      <c r="E84" s="18">
        <f t="shared" si="13"/>
        <v>397222.22222222318</v>
      </c>
      <c r="F84" s="19">
        <f t="shared" si="14"/>
        <v>2717.5925925925958</v>
      </c>
      <c r="G84" s="20"/>
      <c r="H84" s="3">
        <f t="shared" si="15"/>
        <v>74</v>
      </c>
      <c r="I84" s="18">
        <f t="shared" si="21"/>
        <v>440571.01332990546</v>
      </c>
      <c r="J84" s="18">
        <f t="shared" si="16"/>
        <v>1468.5700444330184</v>
      </c>
      <c r="K84" s="18">
        <f t="shared" si="17"/>
        <v>918.50643289427921</v>
      </c>
      <c r="L84" s="18">
        <f t="shared" si="18"/>
        <v>439652.50689701119</v>
      </c>
      <c r="M84" s="19">
        <f t="shared" si="19"/>
        <v>2387.0764773272977</v>
      </c>
    </row>
    <row r="85" spans="1:13" x14ac:dyDescent="0.25">
      <c r="A85" s="3">
        <f>IF(B85&lt;&gt;"",75,"")</f>
        <v>75</v>
      </c>
      <c r="B85" s="18">
        <f t="shared" si="20"/>
        <v>397222.22222222318</v>
      </c>
      <c r="C85" s="18">
        <f t="shared" si="11"/>
        <v>1324.0740740740773</v>
      </c>
      <c r="D85" s="18">
        <f t="shared" si="12"/>
        <v>1388.8888888888889</v>
      </c>
      <c r="E85" s="18">
        <f t="shared" si="13"/>
        <v>395833.3333333343</v>
      </c>
      <c r="F85" s="19">
        <f t="shared" si="14"/>
        <v>2712.9629629629662</v>
      </c>
      <c r="G85" s="20"/>
      <c r="H85" s="3">
        <f t="shared" si="15"/>
        <v>75</v>
      </c>
      <c r="I85" s="18">
        <f t="shared" si="21"/>
        <v>439652.50689701119</v>
      </c>
      <c r="J85" s="18">
        <f t="shared" si="16"/>
        <v>1465.5083563233709</v>
      </c>
      <c r="K85" s="18">
        <f t="shared" si="17"/>
        <v>921.56812100392676</v>
      </c>
      <c r="L85" s="18">
        <f t="shared" si="18"/>
        <v>438730.93877600727</v>
      </c>
      <c r="M85" s="19">
        <f t="shared" si="19"/>
        <v>2387.0764773272977</v>
      </c>
    </row>
    <row r="86" spans="1:13" x14ac:dyDescent="0.25">
      <c r="A86" s="3">
        <f>IF(B86&lt;&gt;"",76,"")</f>
        <v>76</v>
      </c>
      <c r="B86" s="18">
        <f t="shared" si="20"/>
        <v>395833.3333333343</v>
      </c>
      <c r="C86" s="18">
        <f t="shared" si="11"/>
        <v>1319.4444444444478</v>
      </c>
      <c r="D86" s="18">
        <f t="shared" si="12"/>
        <v>1388.8888888888889</v>
      </c>
      <c r="E86" s="18">
        <f t="shared" si="13"/>
        <v>394444.44444444543</v>
      </c>
      <c r="F86" s="19">
        <f t="shared" si="14"/>
        <v>2708.3333333333367</v>
      </c>
      <c r="G86" s="20"/>
      <c r="H86" s="3">
        <f t="shared" si="15"/>
        <v>76</v>
      </c>
      <c r="I86" s="18">
        <f t="shared" si="21"/>
        <v>438730.93877600727</v>
      </c>
      <c r="J86" s="18">
        <f t="shared" si="16"/>
        <v>1462.4364625866911</v>
      </c>
      <c r="K86" s="18">
        <f t="shared" si="17"/>
        <v>924.6400147406066</v>
      </c>
      <c r="L86" s="18">
        <f t="shared" si="18"/>
        <v>437806.29876126669</v>
      </c>
      <c r="M86" s="19">
        <f t="shared" si="19"/>
        <v>2387.0764773272977</v>
      </c>
    </row>
    <row r="87" spans="1:13" x14ac:dyDescent="0.25">
      <c r="A87" s="3">
        <f>IF(B87&lt;&gt;"",77,"")</f>
        <v>77</v>
      </c>
      <c r="B87" s="18">
        <f t="shared" si="20"/>
        <v>394444.44444444543</v>
      </c>
      <c r="C87" s="18">
        <f t="shared" si="11"/>
        <v>1314.8148148148182</v>
      </c>
      <c r="D87" s="18">
        <f t="shared" si="12"/>
        <v>1388.8888888888889</v>
      </c>
      <c r="E87" s="18">
        <f t="shared" si="13"/>
        <v>393055.55555555655</v>
      </c>
      <c r="F87" s="19">
        <f t="shared" si="14"/>
        <v>2703.7037037037071</v>
      </c>
      <c r="G87" s="20"/>
      <c r="H87" s="3">
        <f t="shared" si="15"/>
        <v>77</v>
      </c>
      <c r="I87" s="18">
        <f t="shared" si="21"/>
        <v>437806.29876126669</v>
      </c>
      <c r="J87" s="18">
        <f t="shared" si="16"/>
        <v>1459.3543292042223</v>
      </c>
      <c r="K87" s="18">
        <f t="shared" si="17"/>
        <v>927.72214812307539</v>
      </c>
      <c r="L87" s="18">
        <f t="shared" si="18"/>
        <v>436878.57661314361</v>
      </c>
      <c r="M87" s="19">
        <f t="shared" si="19"/>
        <v>2387.0764773272977</v>
      </c>
    </row>
    <row r="88" spans="1:13" x14ac:dyDescent="0.25">
      <c r="A88" s="3">
        <f>IF(B88&lt;&gt;"",78,"")</f>
        <v>78</v>
      </c>
      <c r="B88" s="18">
        <f t="shared" si="20"/>
        <v>393055.55555555655</v>
      </c>
      <c r="C88" s="18">
        <f t="shared" si="11"/>
        <v>1310.1851851851886</v>
      </c>
      <c r="D88" s="18">
        <f t="shared" si="12"/>
        <v>1388.8888888888889</v>
      </c>
      <c r="E88" s="18">
        <f t="shared" si="13"/>
        <v>391666.66666666768</v>
      </c>
      <c r="F88" s="19">
        <f t="shared" si="14"/>
        <v>2699.0740740740775</v>
      </c>
      <c r="G88" s="20"/>
      <c r="H88" s="3">
        <f t="shared" si="15"/>
        <v>78</v>
      </c>
      <c r="I88" s="18">
        <f t="shared" si="21"/>
        <v>436878.57661314361</v>
      </c>
      <c r="J88" s="18">
        <f t="shared" si="16"/>
        <v>1456.2619220438121</v>
      </c>
      <c r="K88" s="18">
        <f t="shared" si="17"/>
        <v>930.81455528348556</v>
      </c>
      <c r="L88" s="18">
        <f t="shared" si="18"/>
        <v>435947.76205786015</v>
      </c>
      <c r="M88" s="19">
        <f t="shared" si="19"/>
        <v>2387.0764773272977</v>
      </c>
    </row>
    <row r="89" spans="1:13" x14ac:dyDescent="0.25">
      <c r="A89" s="3">
        <f>IF(B89&lt;&gt;"",79,"")</f>
        <v>79</v>
      </c>
      <c r="B89" s="18">
        <f t="shared" si="20"/>
        <v>391666.66666666768</v>
      </c>
      <c r="C89" s="18">
        <f t="shared" si="11"/>
        <v>1305.5555555555591</v>
      </c>
      <c r="D89" s="18">
        <f t="shared" si="12"/>
        <v>1388.8888888888889</v>
      </c>
      <c r="E89" s="18">
        <f t="shared" si="13"/>
        <v>390277.7777777788</v>
      </c>
      <c r="F89" s="19">
        <f t="shared" si="14"/>
        <v>2694.444444444448</v>
      </c>
      <c r="G89" s="20"/>
      <c r="H89" s="3">
        <f t="shared" si="15"/>
        <v>79</v>
      </c>
      <c r="I89" s="18">
        <f t="shared" si="21"/>
        <v>435947.76205786015</v>
      </c>
      <c r="J89" s="18">
        <f t="shared" si="16"/>
        <v>1453.1592068595339</v>
      </c>
      <c r="K89" s="18">
        <f t="shared" si="17"/>
        <v>933.91727046776373</v>
      </c>
      <c r="L89" s="18">
        <f t="shared" si="18"/>
        <v>435013.84478739236</v>
      </c>
      <c r="M89" s="19">
        <f t="shared" si="19"/>
        <v>2387.0764773272977</v>
      </c>
    </row>
    <row r="90" spans="1:13" x14ac:dyDescent="0.25">
      <c r="A90" s="3">
        <f>IF(B90&lt;&gt;"",80,"")</f>
        <v>80</v>
      </c>
      <c r="B90" s="18">
        <f t="shared" si="20"/>
        <v>390277.7777777788</v>
      </c>
      <c r="C90" s="18">
        <f t="shared" si="11"/>
        <v>1300.9259259259295</v>
      </c>
      <c r="D90" s="18">
        <f t="shared" si="12"/>
        <v>1388.8888888888889</v>
      </c>
      <c r="E90" s="18">
        <f t="shared" si="13"/>
        <v>388888.88888888992</v>
      </c>
      <c r="F90" s="19">
        <f t="shared" si="14"/>
        <v>2689.8148148148184</v>
      </c>
      <c r="G90" s="20"/>
      <c r="H90" s="3">
        <f t="shared" si="15"/>
        <v>80</v>
      </c>
      <c r="I90" s="18">
        <f t="shared" si="21"/>
        <v>435013.84478739236</v>
      </c>
      <c r="J90" s="18">
        <f t="shared" si="16"/>
        <v>1450.046149291308</v>
      </c>
      <c r="K90" s="18">
        <f t="shared" si="17"/>
        <v>937.03032803598967</v>
      </c>
      <c r="L90" s="18">
        <f t="shared" si="18"/>
        <v>434076.81445935636</v>
      </c>
      <c r="M90" s="19">
        <f t="shared" si="19"/>
        <v>2387.0764773272977</v>
      </c>
    </row>
    <row r="91" spans="1:13" x14ac:dyDescent="0.25">
      <c r="A91" s="3">
        <f>IF(B91&lt;&gt;"",81,"")</f>
        <v>81</v>
      </c>
      <c r="B91" s="18">
        <f t="shared" si="20"/>
        <v>388888.88888888992</v>
      </c>
      <c r="C91" s="18">
        <f t="shared" si="11"/>
        <v>1296.2962962962997</v>
      </c>
      <c r="D91" s="18">
        <f t="shared" si="12"/>
        <v>1388.8888888888889</v>
      </c>
      <c r="E91" s="18">
        <f t="shared" si="13"/>
        <v>387500.00000000105</v>
      </c>
      <c r="F91" s="19">
        <f t="shared" si="14"/>
        <v>2685.1851851851889</v>
      </c>
      <c r="G91" s="20"/>
      <c r="H91" s="3">
        <f t="shared" si="15"/>
        <v>81</v>
      </c>
      <c r="I91" s="18">
        <f t="shared" si="21"/>
        <v>434076.81445935636</v>
      </c>
      <c r="J91" s="18">
        <f t="shared" si="16"/>
        <v>1446.9227148645214</v>
      </c>
      <c r="K91" s="18">
        <f t="shared" si="17"/>
        <v>940.15376246277629</v>
      </c>
      <c r="L91" s="18">
        <f t="shared" si="18"/>
        <v>433136.66069689358</v>
      </c>
      <c r="M91" s="19">
        <f t="shared" si="19"/>
        <v>2387.0764773272977</v>
      </c>
    </row>
    <row r="92" spans="1:13" x14ac:dyDescent="0.25">
      <c r="A92" s="3">
        <f>IF(B92&lt;&gt;"",82,"")</f>
        <v>82</v>
      </c>
      <c r="B92" s="18">
        <f t="shared" si="20"/>
        <v>387500.00000000105</v>
      </c>
      <c r="C92" s="18">
        <f t="shared" si="11"/>
        <v>1291.6666666666702</v>
      </c>
      <c r="D92" s="18">
        <f t="shared" si="12"/>
        <v>1388.8888888888889</v>
      </c>
      <c r="E92" s="18">
        <f t="shared" si="13"/>
        <v>386111.11111111217</v>
      </c>
      <c r="F92" s="19">
        <f t="shared" si="14"/>
        <v>2680.5555555555593</v>
      </c>
      <c r="G92" s="20"/>
      <c r="H92" s="3">
        <f t="shared" si="15"/>
        <v>82</v>
      </c>
      <c r="I92" s="18">
        <f t="shared" si="21"/>
        <v>433136.66069689358</v>
      </c>
      <c r="J92" s="18">
        <f t="shared" si="16"/>
        <v>1443.7888689896454</v>
      </c>
      <c r="K92" s="18">
        <f t="shared" si="17"/>
        <v>943.28760833765227</v>
      </c>
      <c r="L92" s="18">
        <f t="shared" si="18"/>
        <v>432193.37308855593</v>
      </c>
      <c r="M92" s="19">
        <f t="shared" si="19"/>
        <v>2387.0764773272977</v>
      </c>
    </row>
    <row r="93" spans="1:13" x14ac:dyDescent="0.25">
      <c r="A93" s="3">
        <f>IF(B93&lt;&gt;"",83,"")</f>
        <v>83</v>
      </c>
      <c r="B93" s="18">
        <f t="shared" si="20"/>
        <v>386111.11111111217</v>
      </c>
      <c r="C93" s="18">
        <f t="shared" si="11"/>
        <v>1287.0370370370406</v>
      </c>
      <c r="D93" s="18">
        <f t="shared" si="12"/>
        <v>1388.8888888888889</v>
      </c>
      <c r="E93" s="18">
        <f t="shared" si="13"/>
        <v>384722.2222222233</v>
      </c>
      <c r="F93" s="19">
        <f t="shared" si="14"/>
        <v>2675.9259259259297</v>
      </c>
      <c r="G93" s="20"/>
      <c r="H93" s="3">
        <f t="shared" si="15"/>
        <v>83</v>
      </c>
      <c r="I93" s="18">
        <f t="shared" si="21"/>
        <v>432193.37308855593</v>
      </c>
      <c r="J93" s="18">
        <f t="shared" si="16"/>
        <v>1440.6445769618531</v>
      </c>
      <c r="K93" s="18">
        <f t="shared" si="17"/>
        <v>946.43190036544456</v>
      </c>
      <c r="L93" s="18">
        <f t="shared" si="18"/>
        <v>431246.94118819048</v>
      </c>
      <c r="M93" s="19">
        <f t="shared" si="19"/>
        <v>2387.0764773272977</v>
      </c>
    </row>
    <row r="94" spans="1:13" x14ac:dyDescent="0.25">
      <c r="A94" s="3">
        <f>IF(B94&lt;&gt;"",84,"")</f>
        <v>84</v>
      </c>
      <c r="B94" s="18">
        <f t="shared" si="20"/>
        <v>384722.2222222233</v>
      </c>
      <c r="C94" s="18">
        <f t="shared" si="11"/>
        <v>1282.407407407411</v>
      </c>
      <c r="D94" s="18">
        <f t="shared" si="12"/>
        <v>1388.8888888888889</v>
      </c>
      <c r="E94" s="18">
        <f t="shared" si="13"/>
        <v>383333.33333333442</v>
      </c>
      <c r="F94" s="19">
        <f t="shared" si="14"/>
        <v>2671.2962962963002</v>
      </c>
      <c r="G94" s="20"/>
      <c r="H94" s="3">
        <f t="shared" si="15"/>
        <v>84</v>
      </c>
      <c r="I94" s="18">
        <f t="shared" si="21"/>
        <v>431246.94118819048</v>
      </c>
      <c r="J94" s="18">
        <f t="shared" si="16"/>
        <v>1437.4898039606351</v>
      </c>
      <c r="K94" s="18">
        <f t="shared" si="17"/>
        <v>949.58667336666258</v>
      </c>
      <c r="L94" s="18">
        <f t="shared" si="18"/>
        <v>430297.35451482382</v>
      </c>
      <c r="M94" s="19">
        <f t="shared" si="19"/>
        <v>2387.0764773272977</v>
      </c>
    </row>
    <row r="95" spans="1:13" x14ac:dyDescent="0.25">
      <c r="A95" s="3">
        <f>IF(B95&lt;&gt;"",85,"")</f>
        <v>85</v>
      </c>
      <c r="B95" s="18">
        <f t="shared" si="20"/>
        <v>383333.33333333442</v>
      </c>
      <c r="C95" s="18">
        <f t="shared" si="11"/>
        <v>1277.7777777777815</v>
      </c>
      <c r="D95" s="18">
        <f t="shared" si="12"/>
        <v>1388.8888888888889</v>
      </c>
      <c r="E95" s="18">
        <f t="shared" si="13"/>
        <v>381944.44444444554</v>
      </c>
      <c r="F95" s="19">
        <f t="shared" si="14"/>
        <v>2666.6666666666706</v>
      </c>
      <c r="G95" s="20"/>
      <c r="H95" s="3">
        <f t="shared" si="15"/>
        <v>85</v>
      </c>
      <c r="I95" s="18">
        <f t="shared" si="21"/>
        <v>430297.35451482382</v>
      </c>
      <c r="J95" s="18">
        <f t="shared" si="16"/>
        <v>1434.3245150494129</v>
      </c>
      <c r="K95" s="18">
        <f t="shared" si="17"/>
        <v>952.75196227788479</v>
      </c>
      <c r="L95" s="18">
        <f t="shared" si="18"/>
        <v>429344.60255254596</v>
      </c>
      <c r="M95" s="19">
        <f t="shared" si="19"/>
        <v>2387.0764773272977</v>
      </c>
    </row>
    <row r="96" spans="1:13" x14ac:dyDescent="0.25">
      <c r="A96" s="3">
        <f>IF(B96&lt;&gt;"",86,"")</f>
        <v>86</v>
      </c>
      <c r="B96" s="18">
        <f t="shared" si="20"/>
        <v>381944.44444444554</v>
      </c>
      <c r="C96" s="18">
        <f t="shared" si="11"/>
        <v>1273.1481481481519</v>
      </c>
      <c r="D96" s="18">
        <f t="shared" si="12"/>
        <v>1388.8888888888889</v>
      </c>
      <c r="E96" s="18">
        <f t="shared" si="13"/>
        <v>380555.55555555667</v>
      </c>
      <c r="F96" s="19">
        <f t="shared" si="14"/>
        <v>2662.037037037041</v>
      </c>
      <c r="G96" s="20"/>
      <c r="H96" s="3">
        <f t="shared" si="15"/>
        <v>86</v>
      </c>
      <c r="I96" s="18">
        <f t="shared" si="21"/>
        <v>429344.60255254596</v>
      </c>
      <c r="J96" s="18">
        <f t="shared" si="16"/>
        <v>1431.1486751751534</v>
      </c>
      <c r="K96" s="18">
        <f t="shared" si="17"/>
        <v>955.9278021521443</v>
      </c>
      <c r="L96" s="18">
        <f t="shared" si="18"/>
        <v>428388.67475039384</v>
      </c>
      <c r="M96" s="19">
        <f t="shared" si="19"/>
        <v>2387.0764773272977</v>
      </c>
    </row>
    <row r="97" spans="1:13" x14ac:dyDescent="0.25">
      <c r="A97" s="3">
        <f>IF(B97&lt;&gt;"",87,"")</f>
        <v>87</v>
      </c>
      <c r="B97" s="18">
        <f t="shared" si="20"/>
        <v>380555.55555555667</v>
      </c>
      <c r="C97" s="18">
        <f t="shared" si="11"/>
        <v>1268.5185185185221</v>
      </c>
      <c r="D97" s="18">
        <f t="shared" si="12"/>
        <v>1388.8888888888889</v>
      </c>
      <c r="E97" s="18">
        <f t="shared" si="13"/>
        <v>379166.66666666779</v>
      </c>
      <c r="F97" s="19">
        <f t="shared" si="14"/>
        <v>2657.407407407411</v>
      </c>
      <c r="G97" s="20"/>
      <c r="H97" s="3">
        <f t="shared" si="15"/>
        <v>87</v>
      </c>
      <c r="I97" s="18">
        <f t="shared" si="21"/>
        <v>428388.67475039384</v>
      </c>
      <c r="J97" s="18">
        <f t="shared" si="16"/>
        <v>1427.9622491679795</v>
      </c>
      <c r="K97" s="18">
        <f t="shared" si="17"/>
        <v>959.11422815931815</v>
      </c>
      <c r="L97" s="18">
        <f t="shared" si="18"/>
        <v>427429.56052223453</v>
      </c>
      <c r="M97" s="19">
        <f t="shared" si="19"/>
        <v>2387.0764773272977</v>
      </c>
    </row>
    <row r="98" spans="1:13" x14ac:dyDescent="0.25">
      <c r="A98" s="3">
        <f>IF(B98&lt;&gt;"",88,"")</f>
        <v>88</v>
      </c>
      <c r="B98" s="18">
        <f t="shared" si="20"/>
        <v>379166.66666666779</v>
      </c>
      <c r="C98" s="18">
        <f t="shared" si="11"/>
        <v>1263.8888888888926</v>
      </c>
      <c r="D98" s="18">
        <f t="shared" si="12"/>
        <v>1388.8888888888889</v>
      </c>
      <c r="E98" s="18">
        <f t="shared" si="13"/>
        <v>377777.77777777892</v>
      </c>
      <c r="F98" s="19">
        <f t="shared" si="14"/>
        <v>2652.7777777777815</v>
      </c>
      <c r="G98" s="20"/>
      <c r="H98" s="3">
        <f t="shared" si="15"/>
        <v>88</v>
      </c>
      <c r="I98" s="18">
        <f t="shared" si="21"/>
        <v>427429.56052223453</v>
      </c>
      <c r="J98" s="18">
        <f t="shared" si="16"/>
        <v>1424.7652017407818</v>
      </c>
      <c r="K98" s="18">
        <f t="shared" si="17"/>
        <v>962.31127558651588</v>
      </c>
      <c r="L98" s="18">
        <f t="shared" si="18"/>
        <v>426467.24924664799</v>
      </c>
      <c r="M98" s="19">
        <f t="shared" si="19"/>
        <v>2387.0764773272977</v>
      </c>
    </row>
    <row r="99" spans="1:13" x14ac:dyDescent="0.25">
      <c r="A99" s="3">
        <f>IF(B99&lt;&gt;"",89,"")</f>
        <v>89</v>
      </c>
      <c r="B99" s="18">
        <f t="shared" si="20"/>
        <v>377777.77777777892</v>
      </c>
      <c r="C99" s="18">
        <f t="shared" si="11"/>
        <v>1259.259259259263</v>
      </c>
      <c r="D99" s="18">
        <f t="shared" si="12"/>
        <v>1388.8888888888889</v>
      </c>
      <c r="E99" s="18">
        <f t="shared" si="13"/>
        <v>376388.88888889004</v>
      </c>
      <c r="F99" s="19">
        <f t="shared" si="14"/>
        <v>2648.1481481481519</v>
      </c>
      <c r="G99" s="20"/>
      <c r="H99" s="3">
        <f t="shared" si="15"/>
        <v>89</v>
      </c>
      <c r="I99" s="18">
        <f t="shared" si="21"/>
        <v>426467.24924664799</v>
      </c>
      <c r="J99" s="18">
        <f t="shared" si="16"/>
        <v>1421.5574974888266</v>
      </c>
      <c r="K99" s="18">
        <f t="shared" si="17"/>
        <v>965.51897983847107</v>
      </c>
      <c r="L99" s="18">
        <f t="shared" si="18"/>
        <v>425501.73026680952</v>
      </c>
      <c r="M99" s="19">
        <f t="shared" si="19"/>
        <v>2387.0764773272977</v>
      </c>
    </row>
    <row r="100" spans="1:13" x14ac:dyDescent="0.25">
      <c r="A100" s="3">
        <f>IF(B100&lt;&gt;"",90,"")</f>
        <v>90</v>
      </c>
      <c r="B100" s="18">
        <f t="shared" si="20"/>
        <v>376388.88888889004</v>
      </c>
      <c r="C100" s="18">
        <f t="shared" si="11"/>
        <v>1254.6296296296334</v>
      </c>
      <c r="D100" s="18">
        <f t="shared" si="12"/>
        <v>1388.8888888888889</v>
      </c>
      <c r="E100" s="18">
        <f t="shared" si="13"/>
        <v>375000.00000000116</v>
      </c>
      <c r="F100" s="19">
        <f t="shared" si="14"/>
        <v>2643.5185185185223</v>
      </c>
      <c r="G100" s="20"/>
      <c r="H100" s="3">
        <f t="shared" si="15"/>
        <v>90</v>
      </c>
      <c r="I100" s="18">
        <f t="shared" si="21"/>
        <v>425501.73026680952</v>
      </c>
      <c r="J100" s="18">
        <f t="shared" si="16"/>
        <v>1418.339100889365</v>
      </c>
      <c r="K100" s="18">
        <f t="shared" si="17"/>
        <v>968.73737643793265</v>
      </c>
      <c r="L100" s="18">
        <f t="shared" si="18"/>
        <v>424532.99289037159</v>
      </c>
      <c r="M100" s="19">
        <f t="shared" si="19"/>
        <v>2387.0764773272977</v>
      </c>
    </row>
    <row r="101" spans="1:13" x14ac:dyDescent="0.25">
      <c r="A101" s="3">
        <f>IF(B101&lt;&gt;"",91,"")</f>
        <v>91</v>
      </c>
      <c r="B101" s="18">
        <f t="shared" si="20"/>
        <v>375000.00000000116</v>
      </c>
      <c r="C101" s="18">
        <f t="shared" si="11"/>
        <v>1250.0000000000039</v>
      </c>
      <c r="D101" s="18">
        <f t="shared" si="12"/>
        <v>1388.8888888888889</v>
      </c>
      <c r="E101" s="18">
        <f t="shared" si="13"/>
        <v>373611.11111111229</v>
      </c>
      <c r="F101" s="19">
        <f t="shared" si="14"/>
        <v>2638.8888888888928</v>
      </c>
      <c r="G101" s="20"/>
      <c r="H101" s="3">
        <f t="shared" si="15"/>
        <v>91</v>
      </c>
      <c r="I101" s="18">
        <f t="shared" si="21"/>
        <v>424532.99289037159</v>
      </c>
      <c r="J101" s="18">
        <f t="shared" si="16"/>
        <v>1415.1099763012387</v>
      </c>
      <c r="K101" s="18">
        <f t="shared" si="17"/>
        <v>971.96650102605895</v>
      </c>
      <c r="L101" s="18">
        <f t="shared" si="18"/>
        <v>423561.02638934553</v>
      </c>
      <c r="M101" s="19">
        <f t="shared" si="19"/>
        <v>2387.0764773272977</v>
      </c>
    </row>
    <row r="102" spans="1:13" x14ac:dyDescent="0.25">
      <c r="A102" s="3">
        <f>IF(B102&lt;&gt;"",92,"")</f>
        <v>92</v>
      </c>
      <c r="B102" s="18">
        <f t="shared" si="20"/>
        <v>373611.11111111229</v>
      </c>
      <c r="C102" s="18">
        <f t="shared" si="11"/>
        <v>1245.3703703703743</v>
      </c>
      <c r="D102" s="18">
        <f t="shared" si="12"/>
        <v>1388.8888888888889</v>
      </c>
      <c r="E102" s="18">
        <f t="shared" si="13"/>
        <v>372222.22222222341</v>
      </c>
      <c r="F102" s="19">
        <f t="shared" si="14"/>
        <v>2634.2592592592632</v>
      </c>
      <c r="G102" s="20"/>
      <c r="H102" s="3">
        <f t="shared" si="15"/>
        <v>92</v>
      </c>
      <c r="I102" s="18">
        <f t="shared" si="21"/>
        <v>423561.02638934553</v>
      </c>
      <c r="J102" s="18">
        <f t="shared" si="16"/>
        <v>1411.870087964485</v>
      </c>
      <c r="K102" s="18">
        <f t="shared" si="17"/>
        <v>975.20638936281262</v>
      </c>
      <c r="L102" s="18">
        <f t="shared" si="18"/>
        <v>422585.81999998272</v>
      </c>
      <c r="M102" s="19">
        <f t="shared" si="19"/>
        <v>2387.0764773272977</v>
      </c>
    </row>
    <row r="103" spans="1:13" x14ac:dyDescent="0.25">
      <c r="A103" s="3">
        <f>IF(B103&lt;&gt;"",93,"")</f>
        <v>93</v>
      </c>
      <c r="B103" s="18">
        <f t="shared" si="20"/>
        <v>372222.22222222341</v>
      </c>
      <c r="C103" s="18">
        <f t="shared" si="11"/>
        <v>1240.7407407407447</v>
      </c>
      <c r="D103" s="18">
        <f t="shared" si="12"/>
        <v>1388.8888888888889</v>
      </c>
      <c r="E103" s="18">
        <f t="shared" si="13"/>
        <v>370833.33333333454</v>
      </c>
      <c r="F103" s="19">
        <f t="shared" si="14"/>
        <v>2629.6296296296337</v>
      </c>
      <c r="G103" s="20"/>
      <c r="H103" s="3">
        <f t="shared" si="15"/>
        <v>93</v>
      </c>
      <c r="I103" s="18">
        <f t="shared" si="21"/>
        <v>422585.81999998272</v>
      </c>
      <c r="J103" s="18">
        <f t="shared" si="16"/>
        <v>1408.6193999999423</v>
      </c>
      <c r="K103" s="18">
        <f t="shared" si="17"/>
        <v>978.45707732735536</v>
      </c>
      <c r="L103" s="18">
        <f t="shared" si="18"/>
        <v>421607.36292265536</v>
      </c>
      <c r="M103" s="19">
        <f t="shared" si="19"/>
        <v>2387.0764773272977</v>
      </c>
    </row>
    <row r="104" spans="1:13" x14ac:dyDescent="0.25">
      <c r="A104" s="3">
        <f>IF(B104&lt;&gt;"",94,"")</f>
        <v>94</v>
      </c>
      <c r="B104" s="18">
        <f t="shared" si="20"/>
        <v>370833.33333333454</v>
      </c>
      <c r="C104" s="18">
        <f t="shared" si="11"/>
        <v>1236.1111111111152</v>
      </c>
      <c r="D104" s="18">
        <f t="shared" si="12"/>
        <v>1388.8888888888889</v>
      </c>
      <c r="E104" s="18">
        <f t="shared" si="13"/>
        <v>369444.44444444566</v>
      </c>
      <c r="F104" s="19">
        <f t="shared" si="14"/>
        <v>2625.0000000000041</v>
      </c>
      <c r="G104" s="20"/>
      <c r="H104" s="3">
        <f t="shared" si="15"/>
        <v>94</v>
      </c>
      <c r="I104" s="18">
        <f t="shared" si="21"/>
        <v>421607.36292265536</v>
      </c>
      <c r="J104" s="18">
        <f t="shared" si="16"/>
        <v>1405.3578764088513</v>
      </c>
      <c r="K104" s="18">
        <f t="shared" si="17"/>
        <v>981.71860091844633</v>
      </c>
      <c r="L104" s="18">
        <f t="shared" si="18"/>
        <v>420625.64432173694</v>
      </c>
      <c r="M104" s="19">
        <f t="shared" si="19"/>
        <v>2387.0764773272977</v>
      </c>
    </row>
    <row r="105" spans="1:13" x14ac:dyDescent="0.25">
      <c r="A105" s="3">
        <f>IF(B105&lt;&gt;"",95,"")</f>
        <v>95</v>
      </c>
      <c r="B105" s="18">
        <f t="shared" si="20"/>
        <v>369444.44444444566</v>
      </c>
      <c r="C105" s="18">
        <f t="shared" si="11"/>
        <v>1231.4814814814856</v>
      </c>
      <c r="D105" s="18">
        <f t="shared" si="12"/>
        <v>1388.8888888888889</v>
      </c>
      <c r="E105" s="18">
        <f t="shared" si="13"/>
        <v>368055.55555555678</v>
      </c>
      <c r="F105" s="19">
        <f t="shared" si="14"/>
        <v>2620.3703703703745</v>
      </c>
      <c r="G105" s="20"/>
      <c r="H105" s="3">
        <f t="shared" si="15"/>
        <v>95</v>
      </c>
      <c r="I105" s="18">
        <f t="shared" si="21"/>
        <v>420625.64432173694</v>
      </c>
      <c r="J105" s="18">
        <f t="shared" si="16"/>
        <v>1402.0854810724566</v>
      </c>
      <c r="K105" s="18">
        <f t="shared" si="17"/>
        <v>984.99099625484109</v>
      </c>
      <c r="L105" s="18">
        <f t="shared" si="18"/>
        <v>419640.6533254821</v>
      </c>
      <c r="M105" s="19">
        <f t="shared" si="19"/>
        <v>2387.0764773272977</v>
      </c>
    </row>
    <row r="106" spans="1:13" x14ac:dyDescent="0.25">
      <c r="A106" s="3">
        <f>IF(B106&lt;&gt;"",96,"")</f>
        <v>96</v>
      </c>
      <c r="B106" s="18">
        <f t="shared" si="20"/>
        <v>368055.55555555678</v>
      </c>
      <c r="C106" s="18">
        <f t="shared" si="11"/>
        <v>1226.8518518518561</v>
      </c>
      <c r="D106" s="18">
        <f t="shared" si="12"/>
        <v>1388.8888888888889</v>
      </c>
      <c r="E106" s="18">
        <f t="shared" si="13"/>
        <v>366666.66666666791</v>
      </c>
      <c r="F106" s="19">
        <f t="shared" si="14"/>
        <v>2615.740740740745</v>
      </c>
      <c r="G106" s="20"/>
      <c r="H106" s="3">
        <f t="shared" si="15"/>
        <v>96</v>
      </c>
      <c r="I106" s="18">
        <f t="shared" si="21"/>
        <v>419640.6533254821</v>
      </c>
      <c r="J106" s="18">
        <f t="shared" si="16"/>
        <v>1398.8021777516069</v>
      </c>
      <c r="K106" s="18">
        <f t="shared" si="17"/>
        <v>988.27429957569075</v>
      </c>
      <c r="L106" s="18">
        <f t="shared" si="18"/>
        <v>418652.37902590638</v>
      </c>
      <c r="M106" s="19">
        <f t="shared" si="19"/>
        <v>2387.0764773272977</v>
      </c>
    </row>
    <row r="107" spans="1:13" x14ac:dyDescent="0.25">
      <c r="A107" s="3">
        <f>IF(B107&lt;&gt;"",97,"")</f>
        <v>97</v>
      </c>
      <c r="B107" s="18">
        <f t="shared" si="20"/>
        <v>366666.66666666791</v>
      </c>
      <c r="C107" s="18">
        <f t="shared" si="11"/>
        <v>1222.2222222222265</v>
      </c>
      <c r="D107" s="18">
        <f t="shared" si="12"/>
        <v>1388.8888888888889</v>
      </c>
      <c r="E107" s="18">
        <f t="shared" si="13"/>
        <v>365277.77777777903</v>
      </c>
      <c r="F107" s="19">
        <f t="shared" si="14"/>
        <v>2611.1111111111154</v>
      </c>
      <c r="G107" s="20"/>
      <c r="H107" s="3">
        <f t="shared" si="15"/>
        <v>97</v>
      </c>
      <c r="I107" s="18">
        <f t="shared" si="21"/>
        <v>418652.37902590638</v>
      </c>
      <c r="J107" s="18">
        <f t="shared" si="16"/>
        <v>1395.5079300863547</v>
      </c>
      <c r="K107" s="18">
        <f t="shared" si="17"/>
        <v>991.56854724094296</v>
      </c>
      <c r="L107" s="18">
        <f t="shared" si="18"/>
        <v>417660.81047866546</v>
      </c>
      <c r="M107" s="19">
        <f t="shared" si="19"/>
        <v>2387.0764773272977</v>
      </c>
    </row>
    <row r="108" spans="1:13" x14ac:dyDescent="0.25">
      <c r="A108" s="3">
        <f>IF(B108&lt;&gt;"",98,"")</f>
        <v>98</v>
      </c>
      <c r="B108" s="18">
        <f t="shared" si="20"/>
        <v>365277.77777777903</v>
      </c>
      <c r="C108" s="18">
        <f t="shared" si="11"/>
        <v>1217.5925925925969</v>
      </c>
      <c r="D108" s="18">
        <f t="shared" si="12"/>
        <v>1388.8888888888889</v>
      </c>
      <c r="E108" s="18">
        <f t="shared" si="13"/>
        <v>363888.88888889016</v>
      </c>
      <c r="F108" s="19">
        <f t="shared" si="14"/>
        <v>2606.4814814814858</v>
      </c>
      <c r="G108" s="20"/>
      <c r="H108" s="3">
        <f t="shared" si="15"/>
        <v>98</v>
      </c>
      <c r="I108" s="18">
        <f t="shared" si="21"/>
        <v>417660.81047866546</v>
      </c>
      <c r="J108" s="18">
        <f t="shared" si="16"/>
        <v>1392.2027015955516</v>
      </c>
      <c r="K108" s="18">
        <f t="shared" si="17"/>
        <v>994.87377573174604</v>
      </c>
      <c r="L108" s="18">
        <f t="shared" si="18"/>
        <v>416665.93670293369</v>
      </c>
      <c r="M108" s="19">
        <f t="shared" si="19"/>
        <v>2387.0764773272977</v>
      </c>
    </row>
    <row r="109" spans="1:13" x14ac:dyDescent="0.25">
      <c r="A109" s="3">
        <f>IF(B109&lt;&gt;"",99,"")</f>
        <v>99</v>
      </c>
      <c r="B109" s="18">
        <f t="shared" si="20"/>
        <v>363888.88888889016</v>
      </c>
      <c r="C109" s="18">
        <f t="shared" si="11"/>
        <v>1212.9629629629671</v>
      </c>
      <c r="D109" s="18">
        <f t="shared" si="12"/>
        <v>1388.8888888888889</v>
      </c>
      <c r="E109" s="18">
        <f t="shared" si="13"/>
        <v>362500.00000000128</v>
      </c>
      <c r="F109" s="19">
        <f t="shared" si="14"/>
        <v>2601.8518518518558</v>
      </c>
      <c r="G109" s="20"/>
      <c r="H109" s="3">
        <f t="shared" si="15"/>
        <v>99</v>
      </c>
      <c r="I109" s="18">
        <f t="shared" si="21"/>
        <v>416665.93670293369</v>
      </c>
      <c r="J109" s="18">
        <f t="shared" si="16"/>
        <v>1388.8864556764456</v>
      </c>
      <c r="K109" s="18">
        <f t="shared" si="17"/>
        <v>998.19002165085203</v>
      </c>
      <c r="L109" s="18">
        <f t="shared" si="18"/>
        <v>415667.74668128282</v>
      </c>
      <c r="M109" s="19">
        <f t="shared" si="19"/>
        <v>2387.0764773272977</v>
      </c>
    </row>
    <row r="110" spans="1:13" x14ac:dyDescent="0.25">
      <c r="A110" s="3">
        <f>IF(B110&lt;&gt;"",100,"")</f>
        <v>100</v>
      </c>
      <c r="B110" s="18">
        <f t="shared" si="20"/>
        <v>362500.00000000128</v>
      </c>
      <c r="C110" s="18">
        <f t="shared" si="11"/>
        <v>1208.3333333333376</v>
      </c>
      <c r="D110" s="18">
        <f t="shared" si="12"/>
        <v>1388.8888888888889</v>
      </c>
      <c r="E110" s="18">
        <f t="shared" si="13"/>
        <v>361111.1111111124</v>
      </c>
      <c r="F110" s="19">
        <f t="shared" si="14"/>
        <v>2597.2222222222263</v>
      </c>
      <c r="G110" s="20"/>
      <c r="H110" s="3">
        <f t="shared" si="15"/>
        <v>100</v>
      </c>
      <c r="I110" s="18">
        <f t="shared" si="21"/>
        <v>415667.74668128282</v>
      </c>
      <c r="J110" s="18">
        <f t="shared" si="16"/>
        <v>1385.5591556042762</v>
      </c>
      <c r="K110" s="18">
        <f t="shared" si="17"/>
        <v>1001.5173217230215</v>
      </c>
      <c r="L110" s="18">
        <f t="shared" si="18"/>
        <v>414666.22935955977</v>
      </c>
      <c r="M110" s="19">
        <f t="shared" si="19"/>
        <v>2387.0764773272977</v>
      </c>
    </row>
    <row r="111" spans="1:13" x14ac:dyDescent="0.25">
      <c r="A111" s="3">
        <f>IF(B111&lt;&gt;"",101,"")</f>
        <v>101</v>
      </c>
      <c r="B111" s="18">
        <f t="shared" si="20"/>
        <v>361111.1111111124</v>
      </c>
      <c r="C111" s="18">
        <f t="shared" si="11"/>
        <v>1203.703703703708</v>
      </c>
      <c r="D111" s="18">
        <f t="shared" si="12"/>
        <v>1388.8888888888889</v>
      </c>
      <c r="E111" s="18">
        <f t="shared" si="13"/>
        <v>359722.22222222353</v>
      </c>
      <c r="F111" s="19">
        <f t="shared" si="14"/>
        <v>2592.5925925925967</v>
      </c>
      <c r="G111" s="20"/>
      <c r="H111" s="3">
        <f t="shared" si="15"/>
        <v>101</v>
      </c>
      <c r="I111" s="18">
        <f t="shared" si="21"/>
        <v>414666.22935955977</v>
      </c>
      <c r="J111" s="18">
        <f t="shared" si="16"/>
        <v>1382.2207645318658</v>
      </c>
      <c r="K111" s="18">
        <f t="shared" si="17"/>
        <v>1004.8557127954318</v>
      </c>
      <c r="L111" s="18">
        <f t="shared" si="18"/>
        <v>413661.37364676432</v>
      </c>
      <c r="M111" s="19">
        <f t="shared" si="19"/>
        <v>2387.0764773272977</v>
      </c>
    </row>
    <row r="112" spans="1:13" x14ac:dyDescent="0.25">
      <c r="A112" s="3">
        <f>IF(B112&lt;&gt;"",102,"")</f>
        <v>102</v>
      </c>
      <c r="B112" s="18">
        <f t="shared" si="20"/>
        <v>359722.22222222353</v>
      </c>
      <c r="C112" s="18">
        <f t="shared" si="11"/>
        <v>1199.0740740740785</v>
      </c>
      <c r="D112" s="18">
        <f t="shared" si="12"/>
        <v>1388.8888888888889</v>
      </c>
      <c r="E112" s="18">
        <f t="shared" si="13"/>
        <v>358333.33333333465</v>
      </c>
      <c r="F112" s="19">
        <f t="shared" si="14"/>
        <v>2587.9629629629671</v>
      </c>
      <c r="G112" s="20"/>
      <c r="H112" s="3">
        <f t="shared" si="15"/>
        <v>102</v>
      </c>
      <c r="I112" s="18">
        <f t="shared" si="21"/>
        <v>413661.37364676432</v>
      </c>
      <c r="J112" s="18">
        <f t="shared" si="16"/>
        <v>1378.8712454892145</v>
      </c>
      <c r="K112" s="18">
        <f t="shared" si="17"/>
        <v>1008.2052318380831</v>
      </c>
      <c r="L112" s="18">
        <f t="shared" si="18"/>
        <v>412653.16841492621</v>
      </c>
      <c r="M112" s="19">
        <f t="shared" si="19"/>
        <v>2387.0764773272977</v>
      </c>
    </row>
    <row r="113" spans="1:13" x14ac:dyDescent="0.25">
      <c r="A113" s="3">
        <f>IF(B113&lt;&gt;"",103,"")</f>
        <v>103</v>
      </c>
      <c r="B113" s="18">
        <f t="shared" si="20"/>
        <v>358333.33333333465</v>
      </c>
      <c r="C113" s="18">
        <f t="shared" si="11"/>
        <v>1194.4444444444489</v>
      </c>
      <c r="D113" s="18">
        <f t="shared" si="12"/>
        <v>1388.8888888888889</v>
      </c>
      <c r="E113" s="18">
        <f t="shared" si="13"/>
        <v>356944.44444444578</v>
      </c>
      <c r="F113" s="19">
        <f t="shared" si="14"/>
        <v>2583.3333333333376</v>
      </c>
      <c r="G113" s="20"/>
      <c r="H113" s="3">
        <f t="shared" si="15"/>
        <v>103</v>
      </c>
      <c r="I113" s="18">
        <f t="shared" si="21"/>
        <v>412653.16841492621</v>
      </c>
      <c r="J113" s="18">
        <f t="shared" si="16"/>
        <v>1375.5105613830874</v>
      </c>
      <c r="K113" s="18">
        <f t="shared" si="17"/>
        <v>1011.5659159442102</v>
      </c>
      <c r="L113" s="18">
        <f t="shared" si="18"/>
        <v>411641.60249898199</v>
      </c>
      <c r="M113" s="19">
        <f t="shared" si="19"/>
        <v>2387.0764773272977</v>
      </c>
    </row>
    <row r="114" spans="1:13" x14ac:dyDescent="0.25">
      <c r="A114" s="3">
        <f>IF(B114&lt;&gt;"",104,"")</f>
        <v>104</v>
      </c>
      <c r="B114" s="18">
        <f t="shared" si="20"/>
        <v>356944.44444444578</v>
      </c>
      <c r="C114" s="18">
        <f t="shared" si="11"/>
        <v>1189.8148148148193</v>
      </c>
      <c r="D114" s="18">
        <f t="shared" si="12"/>
        <v>1388.8888888888889</v>
      </c>
      <c r="E114" s="18">
        <f t="shared" si="13"/>
        <v>355555.5555555569</v>
      </c>
      <c r="F114" s="19">
        <f t="shared" si="14"/>
        <v>2578.703703703708</v>
      </c>
      <c r="G114" s="20"/>
      <c r="H114" s="3">
        <f t="shared" si="15"/>
        <v>104</v>
      </c>
      <c r="I114" s="18">
        <f t="shared" si="21"/>
        <v>411641.60249898199</v>
      </c>
      <c r="J114" s="18">
        <f t="shared" si="16"/>
        <v>1372.1386749966066</v>
      </c>
      <c r="K114" s="18">
        <f t="shared" si="17"/>
        <v>1014.9378023306911</v>
      </c>
      <c r="L114" s="18">
        <f t="shared" si="18"/>
        <v>410626.66469665128</v>
      </c>
      <c r="M114" s="19">
        <f t="shared" si="19"/>
        <v>2387.0764773272977</v>
      </c>
    </row>
    <row r="115" spans="1:13" x14ac:dyDescent="0.25">
      <c r="A115" s="3">
        <f>IF(B115&lt;&gt;"",105,"")</f>
        <v>105</v>
      </c>
      <c r="B115" s="18">
        <f t="shared" si="20"/>
        <v>355555.5555555569</v>
      </c>
      <c r="C115" s="18">
        <f t="shared" si="11"/>
        <v>1185.1851851851898</v>
      </c>
      <c r="D115" s="18">
        <f t="shared" si="12"/>
        <v>1388.8888888888889</v>
      </c>
      <c r="E115" s="18">
        <f t="shared" si="13"/>
        <v>354166.66666666802</v>
      </c>
      <c r="F115" s="19">
        <f t="shared" si="14"/>
        <v>2574.0740740740785</v>
      </c>
      <c r="G115" s="20"/>
      <c r="H115" s="3">
        <f t="shared" si="15"/>
        <v>105</v>
      </c>
      <c r="I115" s="18">
        <f t="shared" si="21"/>
        <v>410626.66469665128</v>
      </c>
      <c r="J115" s="18">
        <f t="shared" si="16"/>
        <v>1368.7555489888375</v>
      </c>
      <c r="K115" s="18">
        <f t="shared" si="17"/>
        <v>1018.3209283384601</v>
      </c>
      <c r="L115" s="18">
        <f t="shared" si="18"/>
        <v>409608.34376831283</v>
      </c>
      <c r="M115" s="19">
        <f t="shared" si="19"/>
        <v>2387.0764773272977</v>
      </c>
    </row>
    <row r="116" spans="1:13" x14ac:dyDescent="0.25">
      <c r="A116" s="3">
        <f>IF(B116&lt;&gt;"",106,"")</f>
        <v>106</v>
      </c>
      <c r="B116" s="18">
        <f t="shared" si="20"/>
        <v>354166.66666666802</v>
      </c>
      <c r="C116" s="18">
        <f t="shared" si="11"/>
        <v>1180.55555555556</v>
      </c>
      <c r="D116" s="18">
        <f t="shared" si="12"/>
        <v>1388.8888888888889</v>
      </c>
      <c r="E116" s="18">
        <f t="shared" si="13"/>
        <v>352777.77777777915</v>
      </c>
      <c r="F116" s="19">
        <f t="shared" si="14"/>
        <v>2569.4444444444489</v>
      </c>
      <c r="G116" s="20"/>
      <c r="H116" s="3">
        <f t="shared" si="15"/>
        <v>106</v>
      </c>
      <c r="I116" s="18">
        <f t="shared" si="21"/>
        <v>409608.34376831283</v>
      </c>
      <c r="J116" s="18">
        <f t="shared" si="16"/>
        <v>1365.361145894376</v>
      </c>
      <c r="K116" s="18">
        <f t="shared" si="17"/>
        <v>1021.7153314329216</v>
      </c>
      <c r="L116" s="18">
        <f t="shared" si="18"/>
        <v>408586.6284368799</v>
      </c>
      <c r="M116" s="19">
        <f t="shared" si="19"/>
        <v>2387.0764773272977</v>
      </c>
    </row>
    <row r="117" spans="1:13" x14ac:dyDescent="0.25">
      <c r="A117" s="3">
        <f>IF(B117&lt;&gt;"",107,"")</f>
        <v>107</v>
      </c>
      <c r="B117" s="18">
        <f t="shared" si="20"/>
        <v>352777.77777777915</v>
      </c>
      <c r="C117" s="18">
        <f t="shared" si="11"/>
        <v>1175.9259259259304</v>
      </c>
      <c r="D117" s="18">
        <f t="shared" si="12"/>
        <v>1388.8888888888889</v>
      </c>
      <c r="E117" s="18">
        <f t="shared" si="13"/>
        <v>351388.88888889027</v>
      </c>
      <c r="F117" s="19">
        <f t="shared" si="14"/>
        <v>2564.8148148148193</v>
      </c>
      <c r="G117" s="20"/>
      <c r="H117" s="3">
        <f t="shared" si="15"/>
        <v>107</v>
      </c>
      <c r="I117" s="18">
        <f t="shared" si="21"/>
        <v>408586.6284368799</v>
      </c>
      <c r="J117" s="18">
        <f t="shared" si="16"/>
        <v>1361.955428122933</v>
      </c>
      <c r="K117" s="18">
        <f t="shared" si="17"/>
        <v>1025.1210492043647</v>
      </c>
      <c r="L117" s="18">
        <f t="shared" si="18"/>
        <v>407561.50738767552</v>
      </c>
      <c r="M117" s="19">
        <f t="shared" si="19"/>
        <v>2387.0764773272977</v>
      </c>
    </row>
    <row r="118" spans="1:13" x14ac:dyDescent="0.25">
      <c r="A118" s="3">
        <f>IF(B118&lt;&gt;"",108,"")</f>
        <v>108</v>
      </c>
      <c r="B118" s="18">
        <f t="shared" si="20"/>
        <v>351388.88888889027</v>
      </c>
      <c r="C118" s="18">
        <f t="shared" si="11"/>
        <v>1171.2962962963009</v>
      </c>
      <c r="D118" s="18">
        <f t="shared" si="12"/>
        <v>1388.8888888888889</v>
      </c>
      <c r="E118" s="18">
        <f t="shared" si="13"/>
        <v>350000.0000000014</v>
      </c>
      <c r="F118" s="19">
        <f t="shared" si="14"/>
        <v>2560.1851851851898</v>
      </c>
      <c r="G118" s="20"/>
      <c r="H118" s="3">
        <f t="shared" si="15"/>
        <v>108</v>
      </c>
      <c r="I118" s="18">
        <f t="shared" si="21"/>
        <v>407561.50738767552</v>
      </c>
      <c r="J118" s="18">
        <f t="shared" si="16"/>
        <v>1358.5383579589184</v>
      </c>
      <c r="K118" s="18">
        <f t="shared" si="17"/>
        <v>1028.5381193683793</v>
      </c>
      <c r="L118" s="18">
        <f t="shared" si="18"/>
        <v>406532.96926830715</v>
      </c>
      <c r="M118" s="19">
        <f t="shared" si="19"/>
        <v>2387.0764773272977</v>
      </c>
    </row>
    <row r="119" spans="1:13" x14ac:dyDescent="0.25">
      <c r="A119" s="3">
        <f>IF(B119&lt;&gt;"",109,"")</f>
        <v>109</v>
      </c>
      <c r="B119" s="18">
        <f t="shared" si="20"/>
        <v>350000.0000000014</v>
      </c>
      <c r="C119" s="18">
        <f t="shared" si="11"/>
        <v>1166.6666666666713</v>
      </c>
      <c r="D119" s="18">
        <f t="shared" si="12"/>
        <v>1388.8888888888889</v>
      </c>
      <c r="E119" s="18">
        <f t="shared" si="13"/>
        <v>348611.11111111252</v>
      </c>
      <c r="F119" s="19">
        <f t="shared" si="14"/>
        <v>2555.5555555555602</v>
      </c>
      <c r="G119" s="20"/>
      <c r="H119" s="3">
        <f t="shared" si="15"/>
        <v>109</v>
      </c>
      <c r="I119" s="18">
        <f t="shared" si="21"/>
        <v>406532.96926830715</v>
      </c>
      <c r="J119" s="18">
        <f t="shared" si="16"/>
        <v>1355.1098975610239</v>
      </c>
      <c r="K119" s="18">
        <f t="shared" si="17"/>
        <v>1031.9665797662738</v>
      </c>
      <c r="L119" s="18">
        <f t="shared" si="18"/>
        <v>405501.0026885409</v>
      </c>
      <c r="M119" s="19">
        <f t="shared" si="19"/>
        <v>2387.0764773272977</v>
      </c>
    </row>
    <row r="120" spans="1:13" x14ac:dyDescent="0.25">
      <c r="A120" s="3">
        <f>IF(B120&lt;&gt;"",110,"")</f>
        <v>110</v>
      </c>
      <c r="B120" s="18">
        <f t="shared" si="20"/>
        <v>348611.11111111252</v>
      </c>
      <c r="C120" s="18">
        <f t="shared" si="11"/>
        <v>1162.0370370370417</v>
      </c>
      <c r="D120" s="18">
        <f t="shared" si="12"/>
        <v>1388.8888888888889</v>
      </c>
      <c r="E120" s="18">
        <f t="shared" si="13"/>
        <v>347222.22222222365</v>
      </c>
      <c r="F120" s="19">
        <f t="shared" si="14"/>
        <v>2550.9259259259306</v>
      </c>
      <c r="G120" s="20"/>
      <c r="H120" s="3">
        <f t="shared" si="15"/>
        <v>110</v>
      </c>
      <c r="I120" s="18">
        <f t="shared" si="21"/>
        <v>405501.0026885409</v>
      </c>
      <c r="J120" s="18">
        <f t="shared" si="16"/>
        <v>1351.670008961803</v>
      </c>
      <c r="K120" s="18">
        <f t="shared" si="17"/>
        <v>1035.4064683654947</v>
      </c>
      <c r="L120" s="18">
        <f t="shared" si="18"/>
        <v>404465.59622017539</v>
      </c>
      <c r="M120" s="19">
        <f t="shared" si="19"/>
        <v>2387.0764773272977</v>
      </c>
    </row>
    <row r="121" spans="1:13" x14ac:dyDescent="0.25">
      <c r="A121" s="3">
        <f>IF(B121&lt;&gt;"",111,"")</f>
        <v>111</v>
      </c>
      <c r="B121" s="18">
        <f t="shared" si="20"/>
        <v>347222.22222222365</v>
      </c>
      <c r="C121" s="18">
        <f t="shared" si="11"/>
        <v>1157.4074074074122</v>
      </c>
      <c r="D121" s="18">
        <f t="shared" si="12"/>
        <v>1388.8888888888889</v>
      </c>
      <c r="E121" s="18">
        <f t="shared" si="13"/>
        <v>345833.33333333477</v>
      </c>
      <c r="F121" s="19">
        <f t="shared" si="14"/>
        <v>2546.2962962963011</v>
      </c>
      <c r="G121" s="20"/>
      <c r="H121" s="3">
        <f t="shared" si="15"/>
        <v>111</v>
      </c>
      <c r="I121" s="18">
        <f t="shared" si="21"/>
        <v>404465.59622017539</v>
      </c>
      <c r="J121" s="18">
        <f t="shared" si="16"/>
        <v>1348.2186540672512</v>
      </c>
      <c r="K121" s="18">
        <f t="shared" si="17"/>
        <v>1038.8578232600464</v>
      </c>
      <c r="L121" s="18">
        <f t="shared" si="18"/>
        <v>403426.73839691532</v>
      </c>
      <c r="M121" s="19">
        <f t="shared" si="19"/>
        <v>2387.0764773272977</v>
      </c>
    </row>
    <row r="122" spans="1:13" x14ac:dyDescent="0.25">
      <c r="A122" s="3">
        <f>IF(B122&lt;&gt;"",112,"")</f>
        <v>112</v>
      </c>
      <c r="B122" s="18">
        <f t="shared" si="20"/>
        <v>345833.33333333477</v>
      </c>
      <c r="C122" s="18">
        <f t="shared" si="11"/>
        <v>1152.7777777777826</v>
      </c>
      <c r="D122" s="18">
        <f t="shared" si="12"/>
        <v>1388.8888888888889</v>
      </c>
      <c r="E122" s="18">
        <f t="shared" si="13"/>
        <v>344444.44444444589</v>
      </c>
      <c r="F122" s="19">
        <f t="shared" si="14"/>
        <v>2541.6666666666715</v>
      </c>
      <c r="G122" s="20"/>
      <c r="H122" s="3">
        <f t="shared" si="15"/>
        <v>112</v>
      </c>
      <c r="I122" s="18">
        <f t="shared" si="21"/>
        <v>403426.73839691532</v>
      </c>
      <c r="J122" s="18">
        <f t="shared" si="16"/>
        <v>1344.7557946563845</v>
      </c>
      <c r="K122" s="18">
        <f t="shared" si="17"/>
        <v>1042.3206826709131</v>
      </c>
      <c r="L122" s="18">
        <f t="shared" si="18"/>
        <v>402384.4177142444</v>
      </c>
      <c r="M122" s="19">
        <f t="shared" si="19"/>
        <v>2387.0764773272977</v>
      </c>
    </row>
    <row r="123" spans="1:13" x14ac:dyDescent="0.25">
      <c r="A123" s="3">
        <f>IF(B123&lt;&gt;"",113,"")</f>
        <v>113</v>
      </c>
      <c r="B123" s="18">
        <f t="shared" si="20"/>
        <v>344444.44444444589</v>
      </c>
      <c r="C123" s="18">
        <f t="shared" si="11"/>
        <v>1148.148148148153</v>
      </c>
      <c r="D123" s="18">
        <f t="shared" si="12"/>
        <v>1388.8888888888889</v>
      </c>
      <c r="E123" s="18">
        <f t="shared" si="13"/>
        <v>343055.55555555702</v>
      </c>
      <c r="F123" s="19">
        <f t="shared" si="14"/>
        <v>2537.037037037042</v>
      </c>
      <c r="G123" s="20"/>
      <c r="H123" s="3">
        <f t="shared" si="15"/>
        <v>113</v>
      </c>
      <c r="I123" s="18">
        <f t="shared" si="21"/>
        <v>402384.4177142444</v>
      </c>
      <c r="J123" s="18">
        <f t="shared" si="16"/>
        <v>1341.2813923808146</v>
      </c>
      <c r="K123" s="18">
        <f t="shared" si="17"/>
        <v>1045.795084946483</v>
      </c>
      <c r="L123" s="18">
        <f t="shared" si="18"/>
        <v>401338.6226292979</v>
      </c>
      <c r="M123" s="19">
        <f t="shared" si="19"/>
        <v>2387.0764773272977</v>
      </c>
    </row>
    <row r="124" spans="1:13" x14ac:dyDescent="0.25">
      <c r="A124" s="3">
        <f>IF(B124&lt;&gt;"",114,"")</f>
        <v>114</v>
      </c>
      <c r="B124" s="18">
        <f t="shared" si="20"/>
        <v>343055.55555555702</v>
      </c>
      <c r="C124" s="18">
        <f t="shared" si="11"/>
        <v>1143.5185185185235</v>
      </c>
      <c r="D124" s="18">
        <f t="shared" si="12"/>
        <v>1388.8888888888889</v>
      </c>
      <c r="E124" s="18">
        <f t="shared" si="13"/>
        <v>341666.66666666814</v>
      </c>
      <c r="F124" s="19">
        <f t="shared" si="14"/>
        <v>2532.4074074074124</v>
      </c>
      <c r="G124" s="20"/>
      <c r="H124" s="3">
        <f t="shared" si="15"/>
        <v>114</v>
      </c>
      <c r="I124" s="18">
        <f t="shared" si="21"/>
        <v>401338.6226292979</v>
      </c>
      <c r="J124" s="18">
        <f t="shared" si="16"/>
        <v>1337.7954087643263</v>
      </c>
      <c r="K124" s="18">
        <f t="shared" si="17"/>
        <v>1049.2810685629713</v>
      </c>
      <c r="L124" s="18">
        <f t="shared" si="18"/>
        <v>400289.3415607349</v>
      </c>
      <c r="M124" s="19">
        <f t="shared" si="19"/>
        <v>2387.0764773272977</v>
      </c>
    </row>
    <row r="125" spans="1:13" x14ac:dyDescent="0.25">
      <c r="A125" s="3">
        <f>IF(B125&lt;&gt;"",115,"")</f>
        <v>115</v>
      </c>
      <c r="B125" s="18">
        <f t="shared" si="20"/>
        <v>341666.66666666814</v>
      </c>
      <c r="C125" s="18">
        <f t="shared" si="11"/>
        <v>1138.8888888888939</v>
      </c>
      <c r="D125" s="18">
        <f t="shared" si="12"/>
        <v>1388.8888888888889</v>
      </c>
      <c r="E125" s="18">
        <f t="shared" si="13"/>
        <v>340277.77777777927</v>
      </c>
      <c r="F125" s="19">
        <f t="shared" si="14"/>
        <v>2527.7777777777828</v>
      </c>
      <c r="G125" s="20"/>
      <c r="H125" s="3">
        <f t="shared" si="15"/>
        <v>115</v>
      </c>
      <c r="I125" s="18">
        <f t="shared" si="21"/>
        <v>400289.3415607349</v>
      </c>
      <c r="J125" s="18">
        <f t="shared" si="16"/>
        <v>1334.2978052024498</v>
      </c>
      <c r="K125" s="18">
        <f t="shared" si="17"/>
        <v>1052.7786721248478</v>
      </c>
      <c r="L125" s="18">
        <f t="shared" si="18"/>
        <v>399236.56288861006</v>
      </c>
      <c r="M125" s="19">
        <f t="shared" si="19"/>
        <v>2387.0764773272977</v>
      </c>
    </row>
    <row r="126" spans="1:13" x14ac:dyDescent="0.25">
      <c r="A126" s="3">
        <f>IF(B126&lt;&gt;"",116,"")</f>
        <v>116</v>
      </c>
      <c r="B126" s="18">
        <f t="shared" si="20"/>
        <v>340277.77777777927</v>
      </c>
      <c r="C126" s="18">
        <f t="shared" si="11"/>
        <v>1134.2592592592644</v>
      </c>
      <c r="D126" s="18">
        <f t="shared" si="12"/>
        <v>1388.8888888888889</v>
      </c>
      <c r="E126" s="18">
        <f t="shared" si="13"/>
        <v>338888.88888889039</v>
      </c>
      <c r="F126" s="19">
        <f t="shared" si="14"/>
        <v>2523.1481481481533</v>
      </c>
      <c r="G126" s="20"/>
      <c r="H126" s="3">
        <f t="shared" si="15"/>
        <v>116</v>
      </c>
      <c r="I126" s="18">
        <f t="shared" si="21"/>
        <v>399236.56288861006</v>
      </c>
      <c r="J126" s="18">
        <f t="shared" si="16"/>
        <v>1330.7885429620335</v>
      </c>
      <c r="K126" s="18">
        <f t="shared" si="17"/>
        <v>1056.2879343652642</v>
      </c>
      <c r="L126" s="18">
        <f t="shared" si="18"/>
        <v>398180.27495424479</v>
      </c>
      <c r="M126" s="19">
        <f t="shared" si="19"/>
        <v>2387.0764773272977</v>
      </c>
    </row>
    <row r="127" spans="1:13" x14ac:dyDescent="0.25">
      <c r="A127" s="3">
        <f>IF(B127&lt;&gt;"",117,"")</f>
        <v>117</v>
      </c>
      <c r="B127" s="18">
        <f t="shared" si="20"/>
        <v>338888.88888889039</v>
      </c>
      <c r="C127" s="18">
        <f t="shared" si="11"/>
        <v>1129.6296296296348</v>
      </c>
      <c r="D127" s="18">
        <f t="shared" si="12"/>
        <v>1388.8888888888889</v>
      </c>
      <c r="E127" s="18">
        <f t="shared" si="13"/>
        <v>337500.00000000151</v>
      </c>
      <c r="F127" s="19">
        <f t="shared" si="14"/>
        <v>2518.5185185185237</v>
      </c>
      <c r="G127" s="20"/>
      <c r="H127" s="3">
        <f t="shared" si="15"/>
        <v>117</v>
      </c>
      <c r="I127" s="18">
        <f t="shared" si="21"/>
        <v>398180.27495424479</v>
      </c>
      <c r="J127" s="18">
        <f t="shared" si="16"/>
        <v>1327.267583180816</v>
      </c>
      <c r="K127" s="18">
        <f t="shared" si="17"/>
        <v>1059.8088941464816</v>
      </c>
      <c r="L127" s="18">
        <f t="shared" si="18"/>
        <v>397120.46606009832</v>
      </c>
      <c r="M127" s="19">
        <f t="shared" si="19"/>
        <v>2387.0764773272977</v>
      </c>
    </row>
    <row r="128" spans="1:13" x14ac:dyDescent="0.25">
      <c r="A128" s="3">
        <f>IF(B128&lt;&gt;"",118,"")</f>
        <v>118</v>
      </c>
      <c r="B128" s="18">
        <f t="shared" si="20"/>
        <v>337500.00000000151</v>
      </c>
      <c r="C128" s="18">
        <f t="shared" si="11"/>
        <v>1125.000000000005</v>
      </c>
      <c r="D128" s="18">
        <f t="shared" si="12"/>
        <v>1388.8888888888889</v>
      </c>
      <c r="E128" s="18">
        <f t="shared" si="13"/>
        <v>336111.11111111264</v>
      </c>
      <c r="F128" s="19">
        <f t="shared" si="14"/>
        <v>2513.8888888888941</v>
      </c>
      <c r="G128" s="20"/>
      <c r="H128" s="3">
        <f t="shared" si="15"/>
        <v>118</v>
      </c>
      <c r="I128" s="18">
        <f t="shared" si="21"/>
        <v>397120.46606009832</v>
      </c>
      <c r="J128" s="18">
        <f t="shared" si="16"/>
        <v>1323.7348868669944</v>
      </c>
      <c r="K128" s="18">
        <f t="shared" si="17"/>
        <v>1063.3415904603032</v>
      </c>
      <c r="L128" s="18">
        <f t="shared" si="18"/>
        <v>396057.12446963799</v>
      </c>
      <c r="M128" s="19">
        <f t="shared" si="19"/>
        <v>2387.0764773272977</v>
      </c>
    </row>
    <row r="129" spans="1:13" x14ac:dyDescent="0.25">
      <c r="A129" s="3">
        <f>IF(B129&lt;&gt;"",119,"")</f>
        <v>119</v>
      </c>
      <c r="B129" s="18">
        <f t="shared" si="20"/>
        <v>336111.11111111264</v>
      </c>
      <c r="C129" s="18">
        <f t="shared" si="11"/>
        <v>1120.3703703703754</v>
      </c>
      <c r="D129" s="18">
        <f t="shared" si="12"/>
        <v>1388.8888888888889</v>
      </c>
      <c r="E129" s="18">
        <f t="shared" si="13"/>
        <v>334722.22222222376</v>
      </c>
      <c r="F129" s="19">
        <f t="shared" si="14"/>
        <v>2509.2592592592646</v>
      </c>
      <c r="G129" s="20"/>
      <c r="H129" s="3">
        <f t="shared" si="15"/>
        <v>119</v>
      </c>
      <c r="I129" s="18">
        <f t="shared" si="21"/>
        <v>396057.12446963799</v>
      </c>
      <c r="J129" s="18">
        <f t="shared" si="16"/>
        <v>1320.1904148987933</v>
      </c>
      <c r="K129" s="18">
        <f t="shared" si="17"/>
        <v>1066.8860624285044</v>
      </c>
      <c r="L129" s="18">
        <f t="shared" si="18"/>
        <v>394990.23840720946</v>
      </c>
      <c r="M129" s="19">
        <f t="shared" si="19"/>
        <v>2387.0764773272977</v>
      </c>
    </row>
    <row r="130" spans="1:13" x14ac:dyDescent="0.25">
      <c r="A130" s="3">
        <f>IF(B130&lt;&gt;"",120,"")</f>
        <v>120</v>
      </c>
      <c r="B130" s="18">
        <f t="shared" si="20"/>
        <v>334722.22222222376</v>
      </c>
      <c r="C130" s="18">
        <f t="shared" si="11"/>
        <v>1115.7407407407459</v>
      </c>
      <c r="D130" s="18">
        <f t="shared" si="12"/>
        <v>1388.8888888888889</v>
      </c>
      <c r="E130" s="18">
        <f t="shared" si="13"/>
        <v>333333.33333333489</v>
      </c>
      <c r="F130" s="19">
        <f t="shared" si="14"/>
        <v>2504.629629629635</v>
      </c>
      <c r="G130" s="20"/>
      <c r="H130" s="3">
        <f t="shared" si="15"/>
        <v>120</v>
      </c>
      <c r="I130" s="18">
        <f t="shared" si="21"/>
        <v>394990.23840720946</v>
      </c>
      <c r="J130" s="18">
        <f t="shared" si="16"/>
        <v>1316.6341280240315</v>
      </c>
      <c r="K130" s="18">
        <f t="shared" si="17"/>
        <v>1070.4423493032662</v>
      </c>
      <c r="L130" s="18">
        <f t="shared" si="18"/>
        <v>393919.79605790618</v>
      </c>
      <c r="M130" s="19">
        <f t="shared" si="19"/>
        <v>2387.0764773272977</v>
      </c>
    </row>
    <row r="131" spans="1:13" x14ac:dyDescent="0.25">
      <c r="A131" s="3">
        <f>IF(B131&lt;&gt;"",121,"")</f>
        <v>121</v>
      </c>
      <c r="B131" s="18">
        <f t="shared" si="20"/>
        <v>333333.33333333489</v>
      </c>
      <c r="C131" s="18">
        <f t="shared" si="11"/>
        <v>1111.1111111111163</v>
      </c>
      <c r="D131" s="18">
        <f t="shared" si="12"/>
        <v>1388.8888888888889</v>
      </c>
      <c r="E131" s="18">
        <f t="shared" si="13"/>
        <v>331944.44444444601</v>
      </c>
      <c r="F131" s="19">
        <f t="shared" si="14"/>
        <v>2500.0000000000055</v>
      </c>
      <c r="G131" s="20"/>
      <c r="H131" s="3">
        <f t="shared" si="15"/>
        <v>121</v>
      </c>
      <c r="I131" s="18">
        <f t="shared" si="21"/>
        <v>393919.79605790618</v>
      </c>
      <c r="J131" s="18">
        <f t="shared" si="16"/>
        <v>1313.0659868596874</v>
      </c>
      <c r="K131" s="18">
        <f t="shared" si="17"/>
        <v>1074.0104904676102</v>
      </c>
      <c r="L131" s="18">
        <f t="shared" si="18"/>
        <v>392845.78556743858</v>
      </c>
      <c r="M131" s="19">
        <f t="shared" si="19"/>
        <v>2387.0764773272977</v>
      </c>
    </row>
    <row r="132" spans="1:13" x14ac:dyDescent="0.25">
      <c r="A132" s="3">
        <f>IF(B132&lt;&gt;"",122,"")</f>
        <v>122</v>
      </c>
      <c r="B132" s="18">
        <f t="shared" si="20"/>
        <v>331944.44444444601</v>
      </c>
      <c r="C132" s="18">
        <f t="shared" si="11"/>
        <v>1106.4814814814868</v>
      </c>
      <c r="D132" s="18">
        <f t="shared" si="12"/>
        <v>1388.8888888888889</v>
      </c>
      <c r="E132" s="18">
        <f t="shared" si="13"/>
        <v>330555.55555555713</v>
      </c>
      <c r="F132" s="19">
        <f t="shared" si="14"/>
        <v>2495.3703703703759</v>
      </c>
      <c r="G132" s="20"/>
      <c r="H132" s="3">
        <f t="shared" si="15"/>
        <v>122</v>
      </c>
      <c r="I132" s="18">
        <f t="shared" si="21"/>
        <v>392845.78556743858</v>
      </c>
      <c r="J132" s="18">
        <f t="shared" si="16"/>
        <v>1309.485951891462</v>
      </c>
      <c r="K132" s="18">
        <f t="shared" si="17"/>
        <v>1077.5905254358356</v>
      </c>
      <c r="L132" s="18">
        <f t="shared" si="18"/>
        <v>391768.19504200277</v>
      </c>
      <c r="M132" s="19">
        <f t="shared" si="19"/>
        <v>2387.0764773272977</v>
      </c>
    </row>
    <row r="133" spans="1:13" x14ac:dyDescent="0.25">
      <c r="A133" s="3">
        <f>IF(B133&lt;&gt;"",123,"")</f>
        <v>123</v>
      </c>
      <c r="B133" s="18">
        <f t="shared" si="20"/>
        <v>330555.55555555713</v>
      </c>
      <c r="C133" s="18">
        <f t="shared" si="11"/>
        <v>1101.8518518518572</v>
      </c>
      <c r="D133" s="18">
        <f t="shared" si="12"/>
        <v>1388.8888888888889</v>
      </c>
      <c r="E133" s="18">
        <f t="shared" si="13"/>
        <v>329166.66666666826</v>
      </c>
      <c r="F133" s="19">
        <f t="shared" si="14"/>
        <v>2490.7407407407463</v>
      </c>
      <c r="G133" s="20"/>
      <c r="H133" s="3">
        <f t="shared" si="15"/>
        <v>123</v>
      </c>
      <c r="I133" s="18">
        <f t="shared" si="21"/>
        <v>391768.19504200277</v>
      </c>
      <c r="J133" s="18">
        <f t="shared" si="16"/>
        <v>1305.8939834733426</v>
      </c>
      <c r="K133" s="18">
        <f t="shared" si="17"/>
        <v>1081.1824938539551</v>
      </c>
      <c r="L133" s="18">
        <f t="shared" si="18"/>
        <v>390687.01254814881</v>
      </c>
      <c r="M133" s="19">
        <f t="shared" si="19"/>
        <v>2387.0764773272977</v>
      </c>
    </row>
    <row r="134" spans="1:13" x14ac:dyDescent="0.25">
      <c r="A134" s="3">
        <f>IF(B134&lt;&gt;"",124,"")</f>
        <v>124</v>
      </c>
      <c r="B134" s="18">
        <f t="shared" si="20"/>
        <v>329166.66666666826</v>
      </c>
      <c r="C134" s="18">
        <f t="shared" si="11"/>
        <v>1097.2222222222274</v>
      </c>
      <c r="D134" s="18">
        <f t="shared" si="12"/>
        <v>1388.8888888888889</v>
      </c>
      <c r="E134" s="18">
        <f t="shared" si="13"/>
        <v>327777.77777777938</v>
      </c>
      <c r="F134" s="19">
        <f t="shared" si="14"/>
        <v>2486.1111111111163</v>
      </c>
      <c r="G134" s="20"/>
      <c r="H134" s="3">
        <f t="shared" si="15"/>
        <v>124</v>
      </c>
      <c r="I134" s="18">
        <f t="shared" si="21"/>
        <v>390687.01254814881</v>
      </c>
      <c r="J134" s="18">
        <f t="shared" si="16"/>
        <v>1302.2900418271627</v>
      </c>
      <c r="K134" s="18">
        <f t="shared" si="17"/>
        <v>1084.786435500135</v>
      </c>
      <c r="L134" s="18">
        <f t="shared" si="18"/>
        <v>389602.22611264867</v>
      </c>
      <c r="M134" s="19">
        <f t="shared" si="19"/>
        <v>2387.0764773272977</v>
      </c>
    </row>
    <row r="135" spans="1:13" x14ac:dyDescent="0.25">
      <c r="A135" s="3">
        <f>IF(B135&lt;&gt;"",125,"")</f>
        <v>125</v>
      </c>
      <c r="B135" s="18">
        <f t="shared" si="20"/>
        <v>327777.77777777938</v>
      </c>
      <c r="C135" s="18">
        <f t="shared" si="11"/>
        <v>1092.5925925925978</v>
      </c>
      <c r="D135" s="18">
        <f t="shared" si="12"/>
        <v>1388.8888888888889</v>
      </c>
      <c r="E135" s="18">
        <f t="shared" si="13"/>
        <v>326388.88888889051</v>
      </c>
      <c r="F135" s="19">
        <f t="shared" si="14"/>
        <v>2481.4814814814868</v>
      </c>
      <c r="G135" s="20"/>
      <c r="H135" s="3">
        <f t="shared" si="15"/>
        <v>125</v>
      </c>
      <c r="I135" s="18">
        <f t="shared" si="21"/>
        <v>389602.22611264867</v>
      </c>
      <c r="J135" s="18">
        <f t="shared" si="16"/>
        <v>1298.6740870421622</v>
      </c>
      <c r="K135" s="18">
        <f t="shared" si="17"/>
        <v>1088.4023902851354</v>
      </c>
      <c r="L135" s="18">
        <f t="shared" si="18"/>
        <v>388513.82372236351</v>
      </c>
      <c r="M135" s="19">
        <f t="shared" si="19"/>
        <v>2387.0764773272977</v>
      </c>
    </row>
    <row r="136" spans="1:13" x14ac:dyDescent="0.25">
      <c r="A136" s="3">
        <f>IF(B136&lt;&gt;"",126,"")</f>
        <v>126</v>
      </c>
      <c r="B136" s="18">
        <f t="shared" si="20"/>
        <v>326388.88888889051</v>
      </c>
      <c r="C136" s="18">
        <f t="shared" si="11"/>
        <v>1087.9629629629683</v>
      </c>
      <c r="D136" s="18">
        <f t="shared" si="12"/>
        <v>1388.8888888888889</v>
      </c>
      <c r="E136" s="18">
        <f t="shared" si="13"/>
        <v>325000.00000000163</v>
      </c>
      <c r="F136" s="19">
        <f t="shared" si="14"/>
        <v>2476.8518518518572</v>
      </c>
      <c r="G136" s="20"/>
      <c r="H136" s="3">
        <f t="shared" si="15"/>
        <v>126</v>
      </c>
      <c r="I136" s="18">
        <f t="shared" si="21"/>
        <v>388513.82372236351</v>
      </c>
      <c r="J136" s="18">
        <f t="shared" si="16"/>
        <v>1295.0460790745451</v>
      </c>
      <c r="K136" s="18">
        <f t="shared" si="17"/>
        <v>1092.0303982527525</v>
      </c>
      <c r="L136" s="18">
        <f t="shared" si="18"/>
        <v>387421.79332411074</v>
      </c>
      <c r="M136" s="19">
        <f t="shared" si="19"/>
        <v>2387.0764773272977</v>
      </c>
    </row>
    <row r="137" spans="1:13" x14ac:dyDescent="0.25">
      <c r="A137" s="3">
        <f>IF(B137&lt;&gt;"",127,"")</f>
        <v>127</v>
      </c>
      <c r="B137" s="18">
        <f t="shared" si="20"/>
        <v>325000.00000000163</v>
      </c>
      <c r="C137" s="18">
        <f t="shared" si="11"/>
        <v>1083.3333333333387</v>
      </c>
      <c r="D137" s="18">
        <f t="shared" si="12"/>
        <v>1388.8888888888889</v>
      </c>
      <c r="E137" s="18">
        <f t="shared" si="13"/>
        <v>323611.11111111275</v>
      </c>
      <c r="F137" s="19">
        <f t="shared" si="14"/>
        <v>2472.2222222222276</v>
      </c>
      <c r="G137" s="20"/>
      <c r="H137" s="3">
        <f t="shared" si="15"/>
        <v>127</v>
      </c>
      <c r="I137" s="18">
        <f t="shared" si="21"/>
        <v>387421.79332411074</v>
      </c>
      <c r="J137" s="18">
        <f t="shared" si="16"/>
        <v>1291.4059777470359</v>
      </c>
      <c r="K137" s="18">
        <f t="shared" si="17"/>
        <v>1095.6704995802618</v>
      </c>
      <c r="L137" s="18">
        <f t="shared" si="18"/>
        <v>386326.12282453047</v>
      </c>
      <c r="M137" s="19">
        <f t="shared" si="19"/>
        <v>2387.0764773272977</v>
      </c>
    </row>
    <row r="138" spans="1:13" x14ac:dyDescent="0.25">
      <c r="A138" s="3">
        <f>IF(B138&lt;&gt;"",128,"")</f>
        <v>128</v>
      </c>
      <c r="B138" s="18">
        <f t="shared" si="20"/>
        <v>323611.11111111275</v>
      </c>
      <c r="C138" s="18">
        <f t="shared" si="11"/>
        <v>1078.7037037037092</v>
      </c>
      <c r="D138" s="18">
        <f t="shared" si="12"/>
        <v>1388.8888888888889</v>
      </c>
      <c r="E138" s="18">
        <f t="shared" si="13"/>
        <v>322222.22222222388</v>
      </c>
      <c r="F138" s="19">
        <f t="shared" si="14"/>
        <v>2467.5925925925981</v>
      </c>
      <c r="G138" s="20"/>
      <c r="H138" s="3">
        <f t="shared" si="15"/>
        <v>128</v>
      </c>
      <c r="I138" s="18">
        <f t="shared" si="21"/>
        <v>386326.12282453047</v>
      </c>
      <c r="J138" s="18">
        <f t="shared" si="16"/>
        <v>1287.7537427484349</v>
      </c>
      <c r="K138" s="18">
        <f t="shared" si="17"/>
        <v>1099.3227345788628</v>
      </c>
      <c r="L138" s="18">
        <f t="shared" si="18"/>
        <v>385226.8000899516</v>
      </c>
      <c r="M138" s="19">
        <f t="shared" si="19"/>
        <v>2387.0764773272977</v>
      </c>
    </row>
    <row r="139" spans="1:13" x14ac:dyDescent="0.25">
      <c r="A139" s="3">
        <f>IF(B139&lt;&gt;"",129,"")</f>
        <v>129</v>
      </c>
      <c r="B139" s="18">
        <f t="shared" si="20"/>
        <v>322222.22222222388</v>
      </c>
      <c r="C139" s="18">
        <f t="shared" si="11"/>
        <v>1074.0740740740796</v>
      </c>
      <c r="D139" s="18">
        <f t="shared" si="12"/>
        <v>1388.8888888888889</v>
      </c>
      <c r="E139" s="18">
        <f t="shared" si="13"/>
        <v>320833.333333335</v>
      </c>
      <c r="F139" s="19">
        <f t="shared" si="14"/>
        <v>2462.9629629629685</v>
      </c>
      <c r="G139" s="20"/>
      <c r="H139" s="3">
        <f t="shared" si="15"/>
        <v>129</v>
      </c>
      <c r="I139" s="18">
        <f t="shared" si="21"/>
        <v>385226.8000899516</v>
      </c>
      <c r="J139" s="18">
        <f t="shared" si="16"/>
        <v>1284.0893336331721</v>
      </c>
      <c r="K139" s="18">
        <f t="shared" si="17"/>
        <v>1102.9871436941255</v>
      </c>
      <c r="L139" s="18">
        <f t="shared" si="18"/>
        <v>384123.81294625747</v>
      </c>
      <c r="M139" s="19">
        <f t="shared" si="19"/>
        <v>2387.0764773272977</v>
      </c>
    </row>
    <row r="140" spans="1:13" x14ac:dyDescent="0.25">
      <c r="A140" s="3">
        <f>IF(B140&lt;&gt;"",130,"")</f>
        <v>130</v>
      </c>
      <c r="B140" s="18">
        <f t="shared" si="20"/>
        <v>320833.333333335</v>
      </c>
      <c r="C140" s="18">
        <f t="shared" ref="C140:C203" si="22">IFERROR(B140*$G$4/12,"")</f>
        <v>1069.44444444445</v>
      </c>
      <c r="D140" s="18">
        <f t="shared" ref="D140:D203" si="23">IF(A140&lt;&gt;"",$G$3/$G$5,"")</f>
        <v>1388.8888888888889</v>
      </c>
      <c r="E140" s="18">
        <f t="shared" ref="E140:E203" si="24">IF(A140&lt;&gt;"",B140-D140,"")</f>
        <v>319444.44444444613</v>
      </c>
      <c r="F140" s="19">
        <f t="shared" ref="F140:F203" si="25">IF(A140&lt;&gt;"",C140+D140,"")</f>
        <v>2458.3333333333389</v>
      </c>
      <c r="G140" s="20"/>
      <c r="H140" s="3">
        <f t="shared" ref="H140:H203" si="26">A140</f>
        <v>130</v>
      </c>
      <c r="I140" s="18">
        <f t="shared" si="21"/>
        <v>384123.81294625747</v>
      </c>
      <c r="J140" s="18">
        <f t="shared" ref="J140:J203" si="27">IFERROR(I140*$G$4/12,"")</f>
        <v>1280.4127098208583</v>
      </c>
      <c r="K140" s="18">
        <f t="shared" ref="K140:K203" si="28">IFERROR(M140-J140,"")</f>
        <v>1106.6637675064394</v>
      </c>
      <c r="L140" s="18">
        <f t="shared" ref="L140:L203" si="29">IFERROR(I140-K140,"")</f>
        <v>383017.14917875105</v>
      </c>
      <c r="M140" s="19">
        <f t="shared" ref="M140:M203" si="30">IF(H140&lt;&gt;"",-PMT($G$4/12,$G$5,$G$3),"")</f>
        <v>2387.0764773272977</v>
      </c>
    </row>
    <row r="141" spans="1:13" x14ac:dyDescent="0.25">
      <c r="A141" s="3">
        <f>IF(B141&lt;&gt;"",131,"")</f>
        <v>131</v>
      </c>
      <c r="B141" s="18">
        <f t="shared" ref="B141:B204" si="31">IFERROR(IF(B140-D140&gt;=0.01,B140-D140,""),"")</f>
        <v>319444.44444444613</v>
      </c>
      <c r="C141" s="18">
        <f t="shared" si="22"/>
        <v>1064.8148148148205</v>
      </c>
      <c r="D141" s="18">
        <f t="shared" si="23"/>
        <v>1388.8888888888889</v>
      </c>
      <c r="E141" s="18">
        <f t="shared" si="24"/>
        <v>318055.55555555725</v>
      </c>
      <c r="F141" s="19">
        <f t="shared" si="25"/>
        <v>2453.7037037037094</v>
      </c>
      <c r="G141" s="20"/>
      <c r="H141" s="3">
        <f t="shared" si="26"/>
        <v>131</v>
      </c>
      <c r="I141" s="18">
        <f t="shared" ref="I141:I204" si="32">IFERROR(IF(I140-K140&gt;=0.01,I140-K140,""),"")</f>
        <v>383017.14917875105</v>
      </c>
      <c r="J141" s="18">
        <f t="shared" si="27"/>
        <v>1276.7238305958369</v>
      </c>
      <c r="K141" s="18">
        <f t="shared" si="28"/>
        <v>1110.3526467314607</v>
      </c>
      <c r="L141" s="18">
        <f t="shared" si="29"/>
        <v>381906.79653201957</v>
      </c>
      <c r="M141" s="19">
        <f t="shared" si="30"/>
        <v>2387.0764773272977</v>
      </c>
    </row>
    <row r="142" spans="1:13" x14ac:dyDescent="0.25">
      <c r="A142" s="3">
        <f>IF(B142&lt;&gt;"",132,"")</f>
        <v>132</v>
      </c>
      <c r="B142" s="18">
        <f t="shared" si="31"/>
        <v>318055.55555555725</v>
      </c>
      <c r="C142" s="18">
        <f t="shared" si="22"/>
        <v>1060.1851851851909</v>
      </c>
      <c r="D142" s="18">
        <f t="shared" si="23"/>
        <v>1388.8888888888889</v>
      </c>
      <c r="E142" s="18">
        <f t="shared" si="24"/>
        <v>316666.66666666837</v>
      </c>
      <c r="F142" s="19">
        <f t="shared" si="25"/>
        <v>2449.0740740740798</v>
      </c>
      <c r="G142" s="20"/>
      <c r="H142" s="3">
        <f t="shared" si="26"/>
        <v>132</v>
      </c>
      <c r="I142" s="18">
        <f t="shared" si="32"/>
        <v>381906.79653201957</v>
      </c>
      <c r="J142" s="18">
        <f t="shared" si="27"/>
        <v>1273.0226551067319</v>
      </c>
      <c r="K142" s="18">
        <f t="shared" si="28"/>
        <v>1114.0538222205657</v>
      </c>
      <c r="L142" s="18">
        <f t="shared" si="29"/>
        <v>380792.74270979897</v>
      </c>
      <c r="M142" s="19">
        <f t="shared" si="30"/>
        <v>2387.0764773272977</v>
      </c>
    </row>
    <row r="143" spans="1:13" x14ac:dyDescent="0.25">
      <c r="A143" s="3">
        <f>IF(B143&lt;&gt;"",133,"")</f>
        <v>133</v>
      </c>
      <c r="B143" s="18">
        <f t="shared" si="31"/>
        <v>316666.66666666837</v>
      </c>
      <c r="C143" s="18">
        <f t="shared" si="22"/>
        <v>1055.5555555555613</v>
      </c>
      <c r="D143" s="18">
        <f t="shared" si="23"/>
        <v>1388.8888888888889</v>
      </c>
      <c r="E143" s="18">
        <f t="shared" si="24"/>
        <v>315277.7777777795</v>
      </c>
      <c r="F143" s="19">
        <f t="shared" si="25"/>
        <v>2444.4444444444503</v>
      </c>
      <c r="G143" s="20"/>
      <c r="H143" s="3">
        <f t="shared" si="26"/>
        <v>133</v>
      </c>
      <c r="I143" s="18">
        <f t="shared" si="32"/>
        <v>380792.74270979897</v>
      </c>
      <c r="J143" s="18">
        <f t="shared" si="27"/>
        <v>1269.3091423659966</v>
      </c>
      <c r="K143" s="18">
        <f t="shared" si="28"/>
        <v>1117.767334961301</v>
      </c>
      <c r="L143" s="18">
        <f t="shared" si="29"/>
        <v>379674.9753748377</v>
      </c>
      <c r="M143" s="19">
        <f t="shared" si="30"/>
        <v>2387.0764773272977</v>
      </c>
    </row>
    <row r="144" spans="1:13" x14ac:dyDescent="0.25">
      <c r="A144" s="3">
        <f>IF(B144&lt;&gt;"",134,"")</f>
        <v>134</v>
      </c>
      <c r="B144" s="18">
        <f t="shared" si="31"/>
        <v>315277.7777777795</v>
      </c>
      <c r="C144" s="18">
        <f t="shared" si="22"/>
        <v>1050.9259259259318</v>
      </c>
      <c r="D144" s="18">
        <f t="shared" si="23"/>
        <v>1388.8888888888889</v>
      </c>
      <c r="E144" s="18">
        <f t="shared" si="24"/>
        <v>313888.88888889062</v>
      </c>
      <c r="F144" s="19">
        <f t="shared" si="25"/>
        <v>2439.8148148148207</v>
      </c>
      <c r="G144" s="20"/>
      <c r="H144" s="3">
        <f t="shared" si="26"/>
        <v>134</v>
      </c>
      <c r="I144" s="18">
        <f t="shared" si="32"/>
        <v>379674.9753748377</v>
      </c>
      <c r="J144" s="18">
        <f t="shared" si="27"/>
        <v>1265.583251249459</v>
      </c>
      <c r="K144" s="18">
        <f t="shared" si="28"/>
        <v>1121.4932260778387</v>
      </c>
      <c r="L144" s="18">
        <f t="shared" si="29"/>
        <v>378553.48214875988</v>
      </c>
      <c r="M144" s="19">
        <f t="shared" si="30"/>
        <v>2387.0764773272977</v>
      </c>
    </row>
    <row r="145" spans="1:13" x14ac:dyDescent="0.25">
      <c r="A145" s="3">
        <f>IF(B145&lt;&gt;"",135,"")</f>
        <v>135</v>
      </c>
      <c r="B145" s="18">
        <f t="shared" si="31"/>
        <v>313888.88888889062</v>
      </c>
      <c r="C145" s="18">
        <f t="shared" si="22"/>
        <v>1046.2962962963022</v>
      </c>
      <c r="D145" s="18">
        <f t="shared" si="23"/>
        <v>1388.8888888888889</v>
      </c>
      <c r="E145" s="18">
        <f t="shared" si="24"/>
        <v>312500.00000000175</v>
      </c>
      <c r="F145" s="19">
        <f t="shared" si="25"/>
        <v>2435.1851851851911</v>
      </c>
      <c r="G145" s="20"/>
      <c r="H145" s="3">
        <f t="shared" si="26"/>
        <v>135</v>
      </c>
      <c r="I145" s="18">
        <f t="shared" si="32"/>
        <v>378553.48214875988</v>
      </c>
      <c r="J145" s="18">
        <f t="shared" si="27"/>
        <v>1261.8449404958662</v>
      </c>
      <c r="K145" s="18">
        <f t="shared" si="28"/>
        <v>1125.2315368314314</v>
      </c>
      <c r="L145" s="18">
        <f t="shared" si="29"/>
        <v>377428.25061192847</v>
      </c>
      <c r="M145" s="19">
        <f t="shared" si="30"/>
        <v>2387.0764773272977</v>
      </c>
    </row>
    <row r="146" spans="1:13" x14ac:dyDescent="0.25">
      <c r="A146" s="3">
        <f>IF(B146&lt;&gt;"",136,"")</f>
        <v>136</v>
      </c>
      <c r="B146" s="18">
        <f t="shared" si="31"/>
        <v>312500.00000000175</v>
      </c>
      <c r="C146" s="18">
        <f t="shared" si="22"/>
        <v>1041.6666666666727</v>
      </c>
      <c r="D146" s="18">
        <f t="shared" si="23"/>
        <v>1388.8888888888889</v>
      </c>
      <c r="E146" s="18">
        <f t="shared" si="24"/>
        <v>311111.11111111287</v>
      </c>
      <c r="F146" s="19">
        <f t="shared" si="25"/>
        <v>2430.5555555555616</v>
      </c>
      <c r="G146" s="20"/>
      <c r="H146" s="3">
        <f t="shared" si="26"/>
        <v>136</v>
      </c>
      <c r="I146" s="18">
        <f t="shared" si="32"/>
        <v>377428.25061192847</v>
      </c>
      <c r="J146" s="18">
        <f t="shared" si="27"/>
        <v>1258.0941687064283</v>
      </c>
      <c r="K146" s="18">
        <f t="shared" si="28"/>
        <v>1128.9823086208694</v>
      </c>
      <c r="L146" s="18">
        <f t="shared" si="29"/>
        <v>376299.26830330759</v>
      </c>
      <c r="M146" s="19">
        <f t="shared" si="30"/>
        <v>2387.0764773272977</v>
      </c>
    </row>
    <row r="147" spans="1:13" x14ac:dyDescent="0.25">
      <c r="A147" s="3">
        <f>IF(B147&lt;&gt;"",137,"")</f>
        <v>137</v>
      </c>
      <c r="B147" s="18">
        <f t="shared" si="31"/>
        <v>311111.11111111287</v>
      </c>
      <c r="C147" s="18">
        <f t="shared" si="22"/>
        <v>1037.0370370370429</v>
      </c>
      <c r="D147" s="18">
        <f t="shared" si="23"/>
        <v>1388.8888888888889</v>
      </c>
      <c r="E147" s="18">
        <f t="shared" si="24"/>
        <v>309722.22222222399</v>
      </c>
      <c r="F147" s="19">
        <f t="shared" si="25"/>
        <v>2425.9259259259316</v>
      </c>
      <c r="G147" s="20"/>
      <c r="H147" s="3">
        <f t="shared" si="26"/>
        <v>137</v>
      </c>
      <c r="I147" s="18">
        <f t="shared" si="32"/>
        <v>376299.26830330759</v>
      </c>
      <c r="J147" s="18">
        <f t="shared" si="27"/>
        <v>1254.3308943443587</v>
      </c>
      <c r="K147" s="18">
        <f t="shared" si="28"/>
        <v>1132.7455829829389</v>
      </c>
      <c r="L147" s="18">
        <f t="shared" si="29"/>
        <v>375166.52272032463</v>
      </c>
      <c r="M147" s="19">
        <f t="shared" si="30"/>
        <v>2387.0764773272977</v>
      </c>
    </row>
    <row r="148" spans="1:13" x14ac:dyDescent="0.25">
      <c r="A148" s="3">
        <f>IF(B148&lt;&gt;"",138,"")</f>
        <v>138</v>
      </c>
      <c r="B148" s="18">
        <f t="shared" si="31"/>
        <v>309722.22222222399</v>
      </c>
      <c r="C148" s="18">
        <f t="shared" si="22"/>
        <v>1032.4074074074133</v>
      </c>
      <c r="D148" s="18">
        <f t="shared" si="23"/>
        <v>1388.8888888888889</v>
      </c>
      <c r="E148" s="18">
        <f t="shared" si="24"/>
        <v>308333.33333333512</v>
      </c>
      <c r="F148" s="19">
        <f t="shared" si="25"/>
        <v>2421.296296296302</v>
      </c>
      <c r="G148" s="20"/>
      <c r="H148" s="3">
        <f t="shared" si="26"/>
        <v>138</v>
      </c>
      <c r="I148" s="18">
        <f t="shared" si="32"/>
        <v>375166.52272032463</v>
      </c>
      <c r="J148" s="18">
        <f t="shared" si="27"/>
        <v>1250.5550757344156</v>
      </c>
      <c r="K148" s="18">
        <f t="shared" si="28"/>
        <v>1136.5214015928821</v>
      </c>
      <c r="L148" s="18">
        <f t="shared" si="29"/>
        <v>374030.00131873175</v>
      </c>
      <c r="M148" s="19">
        <f t="shared" si="30"/>
        <v>2387.0764773272977</v>
      </c>
    </row>
    <row r="149" spans="1:13" x14ac:dyDescent="0.25">
      <c r="A149" s="3">
        <f>IF(B149&lt;&gt;"",139,"")</f>
        <v>139</v>
      </c>
      <c r="B149" s="18">
        <f t="shared" si="31"/>
        <v>308333.33333333512</v>
      </c>
      <c r="C149" s="18">
        <f t="shared" si="22"/>
        <v>1027.7777777777837</v>
      </c>
      <c r="D149" s="18">
        <f t="shared" si="23"/>
        <v>1388.8888888888889</v>
      </c>
      <c r="E149" s="18">
        <f t="shared" si="24"/>
        <v>306944.44444444624</v>
      </c>
      <c r="F149" s="19">
        <f t="shared" si="25"/>
        <v>2416.6666666666724</v>
      </c>
      <c r="G149" s="20"/>
      <c r="H149" s="3">
        <f t="shared" si="26"/>
        <v>139</v>
      </c>
      <c r="I149" s="18">
        <f t="shared" si="32"/>
        <v>374030.00131873175</v>
      </c>
      <c r="J149" s="18">
        <f t="shared" si="27"/>
        <v>1246.7666710624392</v>
      </c>
      <c r="K149" s="18">
        <f t="shared" si="28"/>
        <v>1140.3098062648585</v>
      </c>
      <c r="L149" s="18">
        <f t="shared" si="29"/>
        <v>372889.69151246687</v>
      </c>
      <c r="M149" s="19">
        <f t="shared" si="30"/>
        <v>2387.0764773272977</v>
      </c>
    </row>
    <row r="150" spans="1:13" x14ac:dyDescent="0.25">
      <c r="A150" s="3">
        <f>IF(B150&lt;&gt;"",140,"")</f>
        <v>140</v>
      </c>
      <c r="B150" s="18">
        <f t="shared" si="31"/>
        <v>306944.44444444624</v>
      </c>
      <c r="C150" s="18">
        <f t="shared" si="22"/>
        <v>1023.1481481481542</v>
      </c>
      <c r="D150" s="18">
        <f t="shared" si="23"/>
        <v>1388.8888888888889</v>
      </c>
      <c r="E150" s="18">
        <f t="shared" si="24"/>
        <v>305555.55555555737</v>
      </c>
      <c r="F150" s="19">
        <f t="shared" si="25"/>
        <v>2412.0370370370429</v>
      </c>
      <c r="G150" s="20"/>
      <c r="H150" s="3">
        <f t="shared" si="26"/>
        <v>140</v>
      </c>
      <c r="I150" s="18">
        <f t="shared" si="32"/>
        <v>372889.69151246687</v>
      </c>
      <c r="J150" s="18">
        <f t="shared" si="27"/>
        <v>1242.9656383748895</v>
      </c>
      <c r="K150" s="18">
        <f t="shared" si="28"/>
        <v>1144.1108389524081</v>
      </c>
      <c r="L150" s="18">
        <f t="shared" si="29"/>
        <v>371745.58067351446</v>
      </c>
      <c r="M150" s="19">
        <f t="shared" si="30"/>
        <v>2387.0764773272977</v>
      </c>
    </row>
    <row r="151" spans="1:13" x14ac:dyDescent="0.25">
      <c r="A151" s="3">
        <f>IF(B151&lt;&gt;"",141,"")</f>
        <v>141</v>
      </c>
      <c r="B151" s="18">
        <f t="shared" si="31"/>
        <v>305555.55555555737</v>
      </c>
      <c r="C151" s="18">
        <f t="shared" si="22"/>
        <v>1018.5185185185246</v>
      </c>
      <c r="D151" s="18">
        <f t="shared" si="23"/>
        <v>1388.8888888888889</v>
      </c>
      <c r="E151" s="18">
        <f t="shared" si="24"/>
        <v>304166.66666666849</v>
      </c>
      <c r="F151" s="19">
        <f t="shared" si="25"/>
        <v>2407.4074074074133</v>
      </c>
      <c r="G151" s="20"/>
      <c r="H151" s="3">
        <f t="shared" si="26"/>
        <v>141</v>
      </c>
      <c r="I151" s="18">
        <f t="shared" si="32"/>
        <v>371745.58067351446</v>
      </c>
      <c r="J151" s="18">
        <f t="shared" si="27"/>
        <v>1239.1519355783814</v>
      </c>
      <c r="K151" s="18">
        <f t="shared" si="28"/>
        <v>1147.9245417489162</v>
      </c>
      <c r="L151" s="18">
        <f t="shared" si="29"/>
        <v>370597.65613176551</v>
      </c>
      <c r="M151" s="19">
        <f t="shared" si="30"/>
        <v>2387.0764773272977</v>
      </c>
    </row>
    <row r="152" spans="1:13" x14ac:dyDescent="0.25">
      <c r="A152" s="3">
        <f>IF(B152&lt;&gt;"",142,"")</f>
        <v>142</v>
      </c>
      <c r="B152" s="18">
        <f t="shared" si="31"/>
        <v>304166.66666666849</v>
      </c>
      <c r="C152" s="18">
        <f t="shared" si="22"/>
        <v>1013.8888888888951</v>
      </c>
      <c r="D152" s="18">
        <f t="shared" si="23"/>
        <v>1388.8888888888889</v>
      </c>
      <c r="E152" s="18">
        <f t="shared" si="24"/>
        <v>302777.77777777961</v>
      </c>
      <c r="F152" s="19">
        <f t="shared" si="25"/>
        <v>2402.7777777777837</v>
      </c>
      <c r="G152" s="20"/>
      <c r="H152" s="3">
        <f t="shared" si="26"/>
        <v>142</v>
      </c>
      <c r="I152" s="18">
        <f t="shared" si="32"/>
        <v>370597.65613176551</v>
      </c>
      <c r="J152" s="18">
        <f t="shared" si="27"/>
        <v>1235.3255204392183</v>
      </c>
      <c r="K152" s="18">
        <f t="shared" si="28"/>
        <v>1151.7509568880794</v>
      </c>
      <c r="L152" s="18">
        <f t="shared" si="29"/>
        <v>369445.90517487744</v>
      </c>
      <c r="M152" s="19">
        <f t="shared" si="30"/>
        <v>2387.0764773272977</v>
      </c>
    </row>
    <row r="153" spans="1:13" x14ac:dyDescent="0.25">
      <c r="A153" s="3">
        <f>IF(B153&lt;&gt;"",143,"")</f>
        <v>143</v>
      </c>
      <c r="B153" s="18">
        <f t="shared" si="31"/>
        <v>302777.77777777961</v>
      </c>
      <c r="C153" s="18">
        <f t="shared" si="22"/>
        <v>1009.2592592592654</v>
      </c>
      <c r="D153" s="18">
        <f t="shared" si="23"/>
        <v>1388.8888888888889</v>
      </c>
      <c r="E153" s="18">
        <f t="shared" si="24"/>
        <v>301388.88888889074</v>
      </c>
      <c r="F153" s="19">
        <f t="shared" si="25"/>
        <v>2398.1481481481542</v>
      </c>
      <c r="G153" s="20"/>
      <c r="H153" s="3">
        <f t="shared" si="26"/>
        <v>143</v>
      </c>
      <c r="I153" s="18">
        <f t="shared" si="32"/>
        <v>369445.90517487744</v>
      </c>
      <c r="J153" s="18">
        <f t="shared" si="27"/>
        <v>1231.4863505829248</v>
      </c>
      <c r="K153" s="18">
        <f t="shared" si="28"/>
        <v>1155.5901267443728</v>
      </c>
      <c r="L153" s="18">
        <f t="shared" si="29"/>
        <v>368290.31504813308</v>
      </c>
      <c r="M153" s="19">
        <f t="shared" si="30"/>
        <v>2387.0764773272977</v>
      </c>
    </row>
    <row r="154" spans="1:13" x14ac:dyDescent="0.25">
      <c r="A154" s="3">
        <f>IF(B154&lt;&gt;"",144,"")</f>
        <v>144</v>
      </c>
      <c r="B154" s="18">
        <f t="shared" si="31"/>
        <v>301388.88888889074</v>
      </c>
      <c r="C154" s="18">
        <f t="shared" si="22"/>
        <v>1004.6296296296358</v>
      </c>
      <c r="D154" s="18">
        <f t="shared" si="23"/>
        <v>1388.8888888888889</v>
      </c>
      <c r="E154" s="18">
        <f t="shared" si="24"/>
        <v>300000.00000000186</v>
      </c>
      <c r="F154" s="19">
        <f t="shared" si="25"/>
        <v>2393.5185185185246</v>
      </c>
      <c r="G154" s="20"/>
      <c r="H154" s="3">
        <f t="shared" si="26"/>
        <v>144</v>
      </c>
      <c r="I154" s="18">
        <f t="shared" si="32"/>
        <v>368290.31504813308</v>
      </c>
      <c r="J154" s="18">
        <f t="shared" si="27"/>
        <v>1227.634383493777</v>
      </c>
      <c r="K154" s="18">
        <f t="shared" si="28"/>
        <v>1159.4420938335206</v>
      </c>
      <c r="L154" s="18">
        <f t="shared" si="29"/>
        <v>367130.87295429956</v>
      </c>
      <c r="M154" s="19">
        <f t="shared" si="30"/>
        <v>2387.0764773272977</v>
      </c>
    </row>
    <row r="155" spans="1:13" x14ac:dyDescent="0.25">
      <c r="A155" s="3">
        <f>IF(B155&lt;&gt;"",145,"")</f>
        <v>145</v>
      </c>
      <c r="B155" s="18">
        <f t="shared" si="31"/>
        <v>300000.00000000186</v>
      </c>
      <c r="C155" s="18">
        <f t="shared" si="22"/>
        <v>1000.0000000000063</v>
      </c>
      <c r="D155" s="18">
        <f t="shared" si="23"/>
        <v>1388.8888888888889</v>
      </c>
      <c r="E155" s="18">
        <f t="shared" si="24"/>
        <v>298611.11111111299</v>
      </c>
      <c r="F155" s="19">
        <f t="shared" si="25"/>
        <v>2388.8888888888951</v>
      </c>
      <c r="G155" s="20"/>
      <c r="H155" s="3">
        <f t="shared" si="26"/>
        <v>145</v>
      </c>
      <c r="I155" s="18">
        <f t="shared" si="32"/>
        <v>367130.87295429956</v>
      </c>
      <c r="J155" s="18">
        <f t="shared" si="27"/>
        <v>1223.7695765143319</v>
      </c>
      <c r="K155" s="18">
        <f t="shared" si="28"/>
        <v>1163.3069008129658</v>
      </c>
      <c r="L155" s="18">
        <f t="shared" si="29"/>
        <v>365967.5660534866</v>
      </c>
      <c r="M155" s="19">
        <f t="shared" si="30"/>
        <v>2387.0764773272977</v>
      </c>
    </row>
    <row r="156" spans="1:13" x14ac:dyDescent="0.25">
      <c r="A156" s="3">
        <f>IF(B156&lt;&gt;"",146,"")</f>
        <v>146</v>
      </c>
      <c r="B156" s="18">
        <f t="shared" si="31"/>
        <v>298611.11111111299</v>
      </c>
      <c r="C156" s="18">
        <f t="shared" si="22"/>
        <v>995.37037037037669</v>
      </c>
      <c r="D156" s="18">
        <f t="shared" si="23"/>
        <v>1388.8888888888889</v>
      </c>
      <c r="E156" s="18">
        <f t="shared" si="24"/>
        <v>297222.22222222411</v>
      </c>
      <c r="F156" s="19">
        <f t="shared" si="25"/>
        <v>2384.2592592592655</v>
      </c>
      <c r="G156" s="20"/>
      <c r="H156" s="3">
        <f t="shared" si="26"/>
        <v>146</v>
      </c>
      <c r="I156" s="18">
        <f t="shared" si="32"/>
        <v>365967.5660534866</v>
      </c>
      <c r="J156" s="18">
        <f t="shared" si="27"/>
        <v>1219.8918868449553</v>
      </c>
      <c r="K156" s="18">
        <f t="shared" si="28"/>
        <v>1167.1845904823424</v>
      </c>
      <c r="L156" s="18">
        <f t="shared" si="29"/>
        <v>364800.38146300428</v>
      </c>
      <c r="M156" s="19">
        <f t="shared" si="30"/>
        <v>2387.0764773272977</v>
      </c>
    </row>
    <row r="157" spans="1:13" x14ac:dyDescent="0.25">
      <c r="A157" s="3">
        <f>IF(B157&lt;&gt;"",147,"")</f>
        <v>147</v>
      </c>
      <c r="B157" s="18">
        <f t="shared" si="31"/>
        <v>297222.22222222411</v>
      </c>
      <c r="C157" s="18">
        <f t="shared" si="22"/>
        <v>990.74074074074713</v>
      </c>
      <c r="D157" s="18">
        <f t="shared" si="23"/>
        <v>1388.8888888888889</v>
      </c>
      <c r="E157" s="18">
        <f t="shared" si="24"/>
        <v>295833.33333333523</v>
      </c>
      <c r="F157" s="19">
        <f t="shared" si="25"/>
        <v>2379.6296296296359</v>
      </c>
      <c r="G157" s="20"/>
      <c r="H157" s="3">
        <f t="shared" si="26"/>
        <v>147</v>
      </c>
      <c r="I157" s="18">
        <f t="shared" si="32"/>
        <v>364800.38146300428</v>
      </c>
      <c r="J157" s="18">
        <f t="shared" si="27"/>
        <v>1216.0012715433477</v>
      </c>
      <c r="K157" s="18">
        <f t="shared" si="28"/>
        <v>1171.07520578395</v>
      </c>
      <c r="L157" s="18">
        <f t="shared" si="29"/>
        <v>363629.30625722033</v>
      </c>
      <c r="M157" s="19">
        <f t="shared" si="30"/>
        <v>2387.0764773272977</v>
      </c>
    </row>
    <row r="158" spans="1:13" x14ac:dyDescent="0.25">
      <c r="A158" s="3">
        <f>IF(B158&lt;&gt;"",148,"")</f>
        <v>148</v>
      </c>
      <c r="B158" s="18">
        <f t="shared" si="31"/>
        <v>295833.33333333523</v>
      </c>
      <c r="C158" s="18">
        <f t="shared" si="22"/>
        <v>986.11111111111757</v>
      </c>
      <c r="D158" s="18">
        <f t="shared" si="23"/>
        <v>1388.8888888888889</v>
      </c>
      <c r="E158" s="18">
        <f t="shared" si="24"/>
        <v>294444.44444444636</v>
      </c>
      <c r="F158" s="19">
        <f t="shared" si="25"/>
        <v>2375.0000000000064</v>
      </c>
      <c r="G158" s="20"/>
      <c r="H158" s="3">
        <f t="shared" si="26"/>
        <v>148</v>
      </c>
      <c r="I158" s="18">
        <f t="shared" si="32"/>
        <v>363629.30625722033</v>
      </c>
      <c r="J158" s="18">
        <f t="shared" si="27"/>
        <v>1212.0976875240679</v>
      </c>
      <c r="K158" s="18">
        <f t="shared" si="28"/>
        <v>1174.9787898032298</v>
      </c>
      <c r="L158" s="18">
        <f t="shared" si="29"/>
        <v>362454.32746741711</v>
      </c>
      <c r="M158" s="19">
        <f t="shared" si="30"/>
        <v>2387.0764773272977</v>
      </c>
    </row>
    <row r="159" spans="1:13" x14ac:dyDescent="0.25">
      <c r="A159" s="3">
        <f>IF(B159&lt;&gt;"",149,"")</f>
        <v>149</v>
      </c>
      <c r="B159" s="18">
        <f t="shared" si="31"/>
        <v>294444.44444444636</v>
      </c>
      <c r="C159" s="18">
        <f t="shared" si="22"/>
        <v>981.48148148148778</v>
      </c>
      <c r="D159" s="18">
        <f t="shared" si="23"/>
        <v>1388.8888888888889</v>
      </c>
      <c r="E159" s="18">
        <f t="shared" si="24"/>
        <v>293055.55555555748</v>
      </c>
      <c r="F159" s="19">
        <f t="shared" si="25"/>
        <v>2370.3703703703768</v>
      </c>
      <c r="G159" s="20"/>
      <c r="H159" s="3">
        <f t="shared" si="26"/>
        <v>149</v>
      </c>
      <c r="I159" s="18">
        <f t="shared" si="32"/>
        <v>362454.32746741711</v>
      </c>
      <c r="J159" s="18">
        <f t="shared" si="27"/>
        <v>1208.181091558057</v>
      </c>
      <c r="K159" s="18">
        <f t="shared" si="28"/>
        <v>1178.8953857692406</v>
      </c>
      <c r="L159" s="18">
        <f t="shared" si="29"/>
        <v>361275.43208164786</v>
      </c>
      <c r="M159" s="19">
        <f t="shared" si="30"/>
        <v>2387.0764773272977</v>
      </c>
    </row>
    <row r="160" spans="1:13" x14ac:dyDescent="0.25">
      <c r="A160" s="3">
        <f>IF(B160&lt;&gt;"",150,"")</f>
        <v>150</v>
      </c>
      <c r="B160" s="18">
        <f t="shared" si="31"/>
        <v>293055.55555555748</v>
      </c>
      <c r="C160" s="18">
        <f t="shared" si="22"/>
        <v>976.85185185185821</v>
      </c>
      <c r="D160" s="18">
        <f t="shared" si="23"/>
        <v>1388.8888888888889</v>
      </c>
      <c r="E160" s="18">
        <f t="shared" si="24"/>
        <v>291666.66666666861</v>
      </c>
      <c r="F160" s="19">
        <f t="shared" si="25"/>
        <v>2365.7407407407472</v>
      </c>
      <c r="G160" s="20"/>
      <c r="H160" s="3">
        <f t="shared" si="26"/>
        <v>150</v>
      </c>
      <c r="I160" s="18">
        <f t="shared" si="32"/>
        <v>361275.43208164786</v>
      </c>
      <c r="J160" s="18">
        <f t="shared" si="27"/>
        <v>1204.2514402721597</v>
      </c>
      <c r="K160" s="18">
        <f t="shared" si="28"/>
        <v>1182.825037055138</v>
      </c>
      <c r="L160" s="18">
        <f t="shared" si="29"/>
        <v>360092.60704459273</v>
      </c>
      <c r="M160" s="19">
        <f t="shared" si="30"/>
        <v>2387.0764773272977</v>
      </c>
    </row>
    <row r="161" spans="1:13" x14ac:dyDescent="0.25">
      <c r="A161" s="3">
        <f>IF(B161&lt;&gt;"",151,"")</f>
        <v>151</v>
      </c>
      <c r="B161" s="18">
        <f t="shared" si="31"/>
        <v>291666.66666666861</v>
      </c>
      <c r="C161" s="18">
        <f t="shared" si="22"/>
        <v>972.22222222222865</v>
      </c>
      <c r="D161" s="18">
        <f t="shared" si="23"/>
        <v>1388.8888888888889</v>
      </c>
      <c r="E161" s="18">
        <f t="shared" si="24"/>
        <v>290277.77777777973</v>
      </c>
      <c r="F161" s="19">
        <f t="shared" si="25"/>
        <v>2361.1111111111177</v>
      </c>
      <c r="G161" s="20"/>
      <c r="H161" s="3">
        <f t="shared" si="26"/>
        <v>151</v>
      </c>
      <c r="I161" s="18">
        <f t="shared" si="32"/>
        <v>360092.60704459273</v>
      </c>
      <c r="J161" s="18">
        <f t="shared" si="27"/>
        <v>1200.3086901486424</v>
      </c>
      <c r="K161" s="18">
        <f t="shared" si="28"/>
        <v>1186.7677871786552</v>
      </c>
      <c r="L161" s="18">
        <f t="shared" si="29"/>
        <v>358905.8392574141</v>
      </c>
      <c r="M161" s="19">
        <f t="shared" si="30"/>
        <v>2387.0764773272977</v>
      </c>
    </row>
    <row r="162" spans="1:13" x14ac:dyDescent="0.25">
      <c r="A162" s="3">
        <f>IF(B162&lt;&gt;"",152,"")</f>
        <v>152</v>
      </c>
      <c r="B162" s="18">
        <f t="shared" si="31"/>
        <v>290277.77777777973</v>
      </c>
      <c r="C162" s="18">
        <f t="shared" si="22"/>
        <v>967.59259259259909</v>
      </c>
      <c r="D162" s="18">
        <f t="shared" si="23"/>
        <v>1388.8888888888889</v>
      </c>
      <c r="E162" s="18">
        <f t="shared" si="24"/>
        <v>288888.88888889086</v>
      </c>
      <c r="F162" s="19">
        <f t="shared" si="25"/>
        <v>2356.4814814814881</v>
      </c>
      <c r="G162" s="20"/>
      <c r="H162" s="3">
        <f t="shared" si="26"/>
        <v>152</v>
      </c>
      <c r="I162" s="18">
        <f t="shared" si="32"/>
        <v>358905.8392574141</v>
      </c>
      <c r="J162" s="18">
        <f t="shared" si="27"/>
        <v>1196.3527975247137</v>
      </c>
      <c r="K162" s="18">
        <f t="shared" si="28"/>
        <v>1190.723679802584</v>
      </c>
      <c r="L162" s="18">
        <f t="shared" si="29"/>
        <v>357715.11557761155</v>
      </c>
      <c r="M162" s="19">
        <f t="shared" si="30"/>
        <v>2387.0764773272977</v>
      </c>
    </row>
    <row r="163" spans="1:13" x14ac:dyDescent="0.25">
      <c r="A163" s="3">
        <f>IF(B163&lt;&gt;"",153,"")</f>
        <v>153</v>
      </c>
      <c r="B163" s="18">
        <f t="shared" si="31"/>
        <v>288888.88888889086</v>
      </c>
      <c r="C163" s="18">
        <f t="shared" si="22"/>
        <v>962.96296296296953</v>
      </c>
      <c r="D163" s="18">
        <f t="shared" si="23"/>
        <v>1388.8888888888889</v>
      </c>
      <c r="E163" s="18">
        <f t="shared" si="24"/>
        <v>287500.00000000198</v>
      </c>
      <c r="F163" s="19">
        <f t="shared" si="25"/>
        <v>2351.8518518518586</v>
      </c>
      <c r="G163" s="20"/>
      <c r="H163" s="3">
        <f t="shared" si="26"/>
        <v>153</v>
      </c>
      <c r="I163" s="18">
        <f t="shared" si="32"/>
        <v>357715.11557761155</v>
      </c>
      <c r="J163" s="18">
        <f t="shared" si="27"/>
        <v>1192.3837185920386</v>
      </c>
      <c r="K163" s="18">
        <f t="shared" si="28"/>
        <v>1194.6927587352591</v>
      </c>
      <c r="L163" s="18">
        <f t="shared" si="29"/>
        <v>356520.42281887628</v>
      </c>
      <c r="M163" s="19">
        <f t="shared" si="30"/>
        <v>2387.0764773272977</v>
      </c>
    </row>
    <row r="164" spans="1:13" x14ac:dyDescent="0.25">
      <c r="A164" s="3">
        <f>IF(B164&lt;&gt;"",154,"")</f>
        <v>154</v>
      </c>
      <c r="B164" s="18">
        <f t="shared" si="31"/>
        <v>287500.00000000198</v>
      </c>
      <c r="C164" s="18">
        <f t="shared" si="22"/>
        <v>958.33333333333997</v>
      </c>
      <c r="D164" s="18">
        <f t="shared" si="23"/>
        <v>1388.8888888888889</v>
      </c>
      <c r="E164" s="18">
        <f t="shared" si="24"/>
        <v>286111.1111111131</v>
      </c>
      <c r="F164" s="19">
        <f t="shared" si="25"/>
        <v>2347.222222222229</v>
      </c>
      <c r="G164" s="20"/>
      <c r="H164" s="3">
        <f t="shared" si="26"/>
        <v>154</v>
      </c>
      <c r="I164" s="18">
        <f t="shared" si="32"/>
        <v>356520.42281887628</v>
      </c>
      <c r="J164" s="18">
        <f t="shared" si="27"/>
        <v>1188.4014093962544</v>
      </c>
      <c r="K164" s="18">
        <f t="shared" si="28"/>
        <v>1198.6750679310433</v>
      </c>
      <c r="L164" s="18">
        <f t="shared" si="29"/>
        <v>355321.74775094521</v>
      </c>
      <c r="M164" s="19">
        <f t="shared" si="30"/>
        <v>2387.0764773272977</v>
      </c>
    </row>
    <row r="165" spans="1:13" x14ac:dyDescent="0.25">
      <c r="A165" s="3">
        <f>IF(B165&lt;&gt;"",155,"")</f>
        <v>155</v>
      </c>
      <c r="B165" s="18">
        <f t="shared" si="31"/>
        <v>286111.1111111131</v>
      </c>
      <c r="C165" s="18">
        <f t="shared" si="22"/>
        <v>953.70370370371029</v>
      </c>
      <c r="D165" s="18">
        <f t="shared" si="23"/>
        <v>1388.8888888888889</v>
      </c>
      <c r="E165" s="18">
        <f t="shared" si="24"/>
        <v>284722.22222222423</v>
      </c>
      <c r="F165" s="19">
        <f t="shared" si="25"/>
        <v>2342.5925925925994</v>
      </c>
      <c r="G165" s="20"/>
      <c r="H165" s="3">
        <f t="shared" si="26"/>
        <v>155</v>
      </c>
      <c r="I165" s="18">
        <f t="shared" si="32"/>
        <v>355321.74775094521</v>
      </c>
      <c r="J165" s="18">
        <f t="shared" si="27"/>
        <v>1184.4058258364842</v>
      </c>
      <c r="K165" s="18">
        <f t="shared" si="28"/>
        <v>1202.6706514908135</v>
      </c>
      <c r="L165" s="18">
        <f t="shared" si="29"/>
        <v>354119.07709945441</v>
      </c>
      <c r="M165" s="19">
        <f t="shared" si="30"/>
        <v>2387.0764773272977</v>
      </c>
    </row>
    <row r="166" spans="1:13" x14ac:dyDescent="0.25">
      <c r="A166" s="3">
        <f>IF(B166&lt;&gt;"",156,"")</f>
        <v>156</v>
      </c>
      <c r="B166" s="18">
        <f t="shared" si="31"/>
        <v>284722.22222222423</v>
      </c>
      <c r="C166" s="18">
        <f t="shared" si="22"/>
        <v>949.07407407408073</v>
      </c>
      <c r="D166" s="18">
        <f t="shared" si="23"/>
        <v>1388.8888888888889</v>
      </c>
      <c r="E166" s="18">
        <f t="shared" si="24"/>
        <v>283333.33333333535</v>
      </c>
      <c r="F166" s="19">
        <f t="shared" si="25"/>
        <v>2337.9629629629699</v>
      </c>
      <c r="G166" s="20"/>
      <c r="H166" s="3">
        <f t="shared" si="26"/>
        <v>156</v>
      </c>
      <c r="I166" s="18">
        <f t="shared" si="32"/>
        <v>354119.07709945441</v>
      </c>
      <c r="J166" s="18">
        <f t="shared" si="27"/>
        <v>1180.3969236648481</v>
      </c>
      <c r="K166" s="18">
        <f t="shared" si="28"/>
        <v>1206.6795536624495</v>
      </c>
      <c r="L166" s="18">
        <f t="shared" si="29"/>
        <v>352912.39754579199</v>
      </c>
      <c r="M166" s="19">
        <f t="shared" si="30"/>
        <v>2387.0764773272977</v>
      </c>
    </row>
    <row r="167" spans="1:13" x14ac:dyDescent="0.25">
      <c r="A167" s="3">
        <f>IF(B167&lt;&gt;"",157,"")</f>
        <v>157</v>
      </c>
      <c r="B167" s="18">
        <f t="shared" si="31"/>
        <v>283333.33333333535</v>
      </c>
      <c r="C167" s="18">
        <f t="shared" si="22"/>
        <v>944.44444444445116</v>
      </c>
      <c r="D167" s="18">
        <f t="shared" si="23"/>
        <v>1388.8888888888889</v>
      </c>
      <c r="E167" s="18">
        <f t="shared" si="24"/>
        <v>281944.44444444648</v>
      </c>
      <c r="F167" s="19">
        <f t="shared" si="25"/>
        <v>2333.3333333333403</v>
      </c>
      <c r="G167" s="20"/>
      <c r="H167" s="3">
        <f t="shared" si="26"/>
        <v>157</v>
      </c>
      <c r="I167" s="18">
        <f t="shared" si="32"/>
        <v>352912.39754579199</v>
      </c>
      <c r="J167" s="18">
        <f t="shared" si="27"/>
        <v>1176.3746584859734</v>
      </c>
      <c r="K167" s="18">
        <f t="shared" si="28"/>
        <v>1210.7018188413242</v>
      </c>
      <c r="L167" s="18">
        <f t="shared" si="29"/>
        <v>351701.69572695065</v>
      </c>
      <c r="M167" s="19">
        <f t="shared" si="30"/>
        <v>2387.0764773272977</v>
      </c>
    </row>
    <row r="168" spans="1:13" x14ac:dyDescent="0.25">
      <c r="A168" s="3">
        <f>IF(B168&lt;&gt;"",158,"")</f>
        <v>158</v>
      </c>
      <c r="B168" s="18">
        <f t="shared" si="31"/>
        <v>281944.44444444648</v>
      </c>
      <c r="C168" s="18">
        <f t="shared" si="22"/>
        <v>939.8148148148216</v>
      </c>
      <c r="D168" s="18">
        <f t="shared" si="23"/>
        <v>1388.8888888888889</v>
      </c>
      <c r="E168" s="18">
        <f t="shared" si="24"/>
        <v>280555.5555555576</v>
      </c>
      <c r="F168" s="19">
        <f t="shared" si="25"/>
        <v>2328.7037037037107</v>
      </c>
      <c r="G168" s="20"/>
      <c r="H168" s="3">
        <f t="shared" si="26"/>
        <v>158</v>
      </c>
      <c r="I168" s="18">
        <f t="shared" si="32"/>
        <v>351701.69572695065</v>
      </c>
      <c r="J168" s="18">
        <f t="shared" si="27"/>
        <v>1172.3389857565023</v>
      </c>
      <c r="K168" s="18">
        <f t="shared" si="28"/>
        <v>1214.7374915707953</v>
      </c>
      <c r="L168" s="18">
        <f t="shared" si="29"/>
        <v>350486.95823537983</v>
      </c>
      <c r="M168" s="19">
        <f t="shared" si="30"/>
        <v>2387.0764773272977</v>
      </c>
    </row>
    <row r="169" spans="1:13" x14ac:dyDescent="0.25">
      <c r="A169" s="3">
        <f>IF(B169&lt;&gt;"",159,"")</f>
        <v>159</v>
      </c>
      <c r="B169" s="18">
        <f t="shared" si="31"/>
        <v>280555.5555555576</v>
      </c>
      <c r="C169" s="18">
        <f t="shared" si="22"/>
        <v>935.18518518519204</v>
      </c>
      <c r="D169" s="18">
        <f t="shared" si="23"/>
        <v>1388.8888888888889</v>
      </c>
      <c r="E169" s="18">
        <f t="shared" si="24"/>
        <v>279166.66666666872</v>
      </c>
      <c r="F169" s="19">
        <f t="shared" si="25"/>
        <v>2324.0740740740812</v>
      </c>
      <c r="G169" s="20"/>
      <c r="H169" s="3">
        <f t="shared" si="26"/>
        <v>159</v>
      </c>
      <c r="I169" s="18">
        <f t="shared" si="32"/>
        <v>350486.95823537983</v>
      </c>
      <c r="J169" s="18">
        <f t="shared" si="27"/>
        <v>1168.2898607845993</v>
      </c>
      <c r="K169" s="18">
        <f t="shared" si="28"/>
        <v>1218.7866165426983</v>
      </c>
      <c r="L169" s="18">
        <f t="shared" si="29"/>
        <v>349268.17161883711</v>
      </c>
      <c r="M169" s="19">
        <f t="shared" si="30"/>
        <v>2387.0764773272977</v>
      </c>
    </row>
    <row r="170" spans="1:13" x14ac:dyDescent="0.25">
      <c r="A170" s="3">
        <f>IF(B170&lt;&gt;"",160,"")</f>
        <v>160</v>
      </c>
      <c r="B170" s="18">
        <f t="shared" si="31"/>
        <v>279166.66666666872</v>
      </c>
      <c r="C170" s="18">
        <f t="shared" si="22"/>
        <v>930.55555555556248</v>
      </c>
      <c r="D170" s="18">
        <f t="shared" si="23"/>
        <v>1388.8888888888889</v>
      </c>
      <c r="E170" s="18">
        <f t="shared" si="24"/>
        <v>277777.77777777985</v>
      </c>
      <c r="F170" s="19">
        <f t="shared" si="25"/>
        <v>2319.4444444444516</v>
      </c>
      <c r="G170" s="20"/>
      <c r="H170" s="3">
        <f t="shared" si="26"/>
        <v>160</v>
      </c>
      <c r="I170" s="18">
        <f t="shared" si="32"/>
        <v>349268.17161883711</v>
      </c>
      <c r="J170" s="18">
        <f t="shared" si="27"/>
        <v>1164.227238729457</v>
      </c>
      <c r="K170" s="18">
        <f t="shared" si="28"/>
        <v>1222.8492385978407</v>
      </c>
      <c r="L170" s="18">
        <f t="shared" si="29"/>
        <v>348045.32238023926</v>
      </c>
      <c r="M170" s="19">
        <f t="shared" si="30"/>
        <v>2387.0764773272977</v>
      </c>
    </row>
    <row r="171" spans="1:13" x14ac:dyDescent="0.25">
      <c r="A171" s="3">
        <f>IF(B171&lt;&gt;"",161,"")</f>
        <v>161</v>
      </c>
      <c r="B171" s="18">
        <f t="shared" si="31"/>
        <v>277777.77777777985</v>
      </c>
      <c r="C171" s="18">
        <f t="shared" si="22"/>
        <v>925.92592592593292</v>
      </c>
      <c r="D171" s="18">
        <f t="shared" si="23"/>
        <v>1388.8888888888889</v>
      </c>
      <c r="E171" s="18">
        <f t="shared" si="24"/>
        <v>276388.88888889097</v>
      </c>
      <c r="F171" s="19">
        <f t="shared" si="25"/>
        <v>2314.8148148148221</v>
      </c>
      <c r="G171" s="20"/>
      <c r="H171" s="3">
        <f t="shared" si="26"/>
        <v>161</v>
      </c>
      <c r="I171" s="18">
        <f t="shared" si="32"/>
        <v>348045.32238023926</v>
      </c>
      <c r="J171" s="18">
        <f t="shared" si="27"/>
        <v>1160.1510746007975</v>
      </c>
      <c r="K171" s="18">
        <f t="shared" si="28"/>
        <v>1226.9254027265001</v>
      </c>
      <c r="L171" s="18">
        <f t="shared" si="29"/>
        <v>346818.39697751275</v>
      </c>
      <c r="M171" s="19">
        <f t="shared" si="30"/>
        <v>2387.0764773272977</v>
      </c>
    </row>
    <row r="172" spans="1:13" x14ac:dyDescent="0.25">
      <c r="A172" s="3">
        <f>IF(B172&lt;&gt;"",162,"")</f>
        <v>162</v>
      </c>
      <c r="B172" s="18">
        <f t="shared" si="31"/>
        <v>276388.88888889097</v>
      </c>
      <c r="C172" s="18">
        <f t="shared" si="22"/>
        <v>921.29629629630324</v>
      </c>
      <c r="D172" s="18">
        <f t="shared" si="23"/>
        <v>1388.8888888888889</v>
      </c>
      <c r="E172" s="18">
        <f t="shared" si="24"/>
        <v>275000.0000000021</v>
      </c>
      <c r="F172" s="19">
        <f t="shared" si="25"/>
        <v>2310.185185185192</v>
      </c>
      <c r="G172" s="20"/>
      <c r="H172" s="3">
        <f t="shared" si="26"/>
        <v>162</v>
      </c>
      <c r="I172" s="18">
        <f t="shared" si="32"/>
        <v>346818.39697751275</v>
      </c>
      <c r="J172" s="18">
        <f t="shared" si="27"/>
        <v>1156.0613232583758</v>
      </c>
      <c r="K172" s="18">
        <f t="shared" si="28"/>
        <v>1231.0151540689219</v>
      </c>
      <c r="L172" s="18">
        <f t="shared" si="29"/>
        <v>345587.38182344381</v>
      </c>
      <c r="M172" s="19">
        <f t="shared" si="30"/>
        <v>2387.0764773272977</v>
      </c>
    </row>
    <row r="173" spans="1:13" x14ac:dyDescent="0.25">
      <c r="A173" s="3">
        <f>IF(B173&lt;&gt;"",163,"")</f>
        <v>163</v>
      </c>
      <c r="B173" s="18">
        <f t="shared" si="31"/>
        <v>275000.0000000021</v>
      </c>
      <c r="C173" s="18">
        <f t="shared" si="22"/>
        <v>916.66666666667368</v>
      </c>
      <c r="D173" s="18">
        <f t="shared" si="23"/>
        <v>1388.8888888888889</v>
      </c>
      <c r="E173" s="18">
        <f t="shared" si="24"/>
        <v>273611.11111111322</v>
      </c>
      <c r="F173" s="19">
        <f t="shared" si="25"/>
        <v>2305.5555555555625</v>
      </c>
      <c r="G173" s="20"/>
      <c r="H173" s="3">
        <f t="shared" si="26"/>
        <v>163</v>
      </c>
      <c r="I173" s="18">
        <f t="shared" si="32"/>
        <v>345587.38182344381</v>
      </c>
      <c r="J173" s="18">
        <f t="shared" si="27"/>
        <v>1151.9579394114794</v>
      </c>
      <c r="K173" s="18">
        <f t="shared" si="28"/>
        <v>1235.1185379158183</v>
      </c>
      <c r="L173" s="18">
        <f t="shared" si="29"/>
        <v>344352.263285528</v>
      </c>
      <c r="M173" s="19">
        <f t="shared" si="30"/>
        <v>2387.0764773272977</v>
      </c>
    </row>
    <row r="174" spans="1:13" x14ac:dyDescent="0.25">
      <c r="A174" s="3">
        <f>IF(B174&lt;&gt;"",164,"")</f>
        <v>164</v>
      </c>
      <c r="B174" s="18">
        <f t="shared" si="31"/>
        <v>273611.11111111322</v>
      </c>
      <c r="C174" s="18">
        <f t="shared" si="22"/>
        <v>912.03703703704412</v>
      </c>
      <c r="D174" s="18">
        <f t="shared" si="23"/>
        <v>1388.8888888888889</v>
      </c>
      <c r="E174" s="18">
        <f t="shared" si="24"/>
        <v>272222.22222222434</v>
      </c>
      <c r="F174" s="19">
        <f t="shared" si="25"/>
        <v>2300.9259259259329</v>
      </c>
      <c r="G174" s="20"/>
      <c r="H174" s="3">
        <f t="shared" si="26"/>
        <v>164</v>
      </c>
      <c r="I174" s="18">
        <f t="shared" si="32"/>
        <v>344352.263285528</v>
      </c>
      <c r="J174" s="18">
        <f t="shared" si="27"/>
        <v>1147.8408776184267</v>
      </c>
      <c r="K174" s="18">
        <f t="shared" si="28"/>
        <v>1239.235599708871</v>
      </c>
      <c r="L174" s="18">
        <f t="shared" si="29"/>
        <v>343113.02768581914</v>
      </c>
      <c r="M174" s="19">
        <f t="shared" si="30"/>
        <v>2387.0764773272977</v>
      </c>
    </row>
    <row r="175" spans="1:13" x14ac:dyDescent="0.25">
      <c r="A175" s="3">
        <f>IF(B175&lt;&gt;"",165,"")</f>
        <v>165</v>
      </c>
      <c r="B175" s="18">
        <f t="shared" si="31"/>
        <v>272222.22222222434</v>
      </c>
      <c r="C175" s="18">
        <f t="shared" si="22"/>
        <v>907.40740740741455</v>
      </c>
      <c r="D175" s="18">
        <f t="shared" si="23"/>
        <v>1388.8888888888889</v>
      </c>
      <c r="E175" s="18">
        <f t="shared" si="24"/>
        <v>270833.33333333547</v>
      </c>
      <c r="F175" s="19">
        <f t="shared" si="25"/>
        <v>2296.2962962963034</v>
      </c>
      <c r="G175" s="20"/>
      <c r="H175" s="3">
        <f t="shared" si="26"/>
        <v>165</v>
      </c>
      <c r="I175" s="18">
        <f t="shared" si="32"/>
        <v>343113.02768581914</v>
      </c>
      <c r="J175" s="18">
        <f t="shared" si="27"/>
        <v>1143.7100922860639</v>
      </c>
      <c r="K175" s="18">
        <f t="shared" si="28"/>
        <v>1243.3663850412338</v>
      </c>
      <c r="L175" s="18">
        <f t="shared" si="29"/>
        <v>341869.66130077792</v>
      </c>
      <c r="M175" s="19">
        <f t="shared" si="30"/>
        <v>2387.0764773272977</v>
      </c>
    </row>
    <row r="176" spans="1:13" x14ac:dyDescent="0.25">
      <c r="A176" s="3">
        <f>IF(B176&lt;&gt;"",166,"")</f>
        <v>166</v>
      </c>
      <c r="B176" s="18">
        <f t="shared" si="31"/>
        <v>270833.33333333547</v>
      </c>
      <c r="C176" s="18">
        <f t="shared" si="22"/>
        <v>902.77777777778499</v>
      </c>
      <c r="D176" s="18">
        <f t="shared" si="23"/>
        <v>1388.8888888888889</v>
      </c>
      <c r="E176" s="18">
        <f t="shared" si="24"/>
        <v>269444.44444444659</v>
      </c>
      <c r="F176" s="19">
        <f t="shared" si="25"/>
        <v>2291.6666666666738</v>
      </c>
      <c r="G176" s="20"/>
      <c r="H176" s="3">
        <f t="shared" si="26"/>
        <v>166</v>
      </c>
      <c r="I176" s="18">
        <f t="shared" si="32"/>
        <v>341869.66130077792</v>
      </c>
      <c r="J176" s="18">
        <f t="shared" si="27"/>
        <v>1139.5655376692598</v>
      </c>
      <c r="K176" s="18">
        <f t="shared" si="28"/>
        <v>1247.5109396580378</v>
      </c>
      <c r="L176" s="18">
        <f t="shared" si="29"/>
        <v>340622.15036111989</v>
      </c>
      <c r="M176" s="19">
        <f t="shared" si="30"/>
        <v>2387.0764773272977</v>
      </c>
    </row>
    <row r="177" spans="1:13" x14ac:dyDescent="0.25">
      <c r="A177" s="3">
        <f>IF(B177&lt;&gt;"",167,"")</f>
        <v>167</v>
      </c>
      <c r="B177" s="18">
        <f t="shared" si="31"/>
        <v>269444.44444444659</v>
      </c>
      <c r="C177" s="18">
        <f t="shared" si="22"/>
        <v>898.14814814815543</v>
      </c>
      <c r="D177" s="18">
        <f t="shared" si="23"/>
        <v>1388.8888888888889</v>
      </c>
      <c r="E177" s="18">
        <f t="shared" si="24"/>
        <v>268055.55555555772</v>
      </c>
      <c r="F177" s="19">
        <f t="shared" si="25"/>
        <v>2287.0370370370442</v>
      </c>
      <c r="G177" s="20"/>
      <c r="H177" s="3">
        <f t="shared" si="26"/>
        <v>167</v>
      </c>
      <c r="I177" s="18">
        <f t="shared" si="32"/>
        <v>340622.15036111989</v>
      </c>
      <c r="J177" s="18">
        <f t="shared" si="27"/>
        <v>1135.4071678703997</v>
      </c>
      <c r="K177" s="18">
        <f t="shared" si="28"/>
        <v>1251.669309456898</v>
      </c>
      <c r="L177" s="18">
        <f t="shared" si="29"/>
        <v>339370.481051663</v>
      </c>
      <c r="M177" s="19">
        <f t="shared" si="30"/>
        <v>2387.0764773272977</v>
      </c>
    </row>
    <row r="178" spans="1:13" x14ac:dyDescent="0.25">
      <c r="A178" s="3">
        <f>IF(B178&lt;&gt;"",168,"")</f>
        <v>168</v>
      </c>
      <c r="B178" s="18">
        <f t="shared" si="31"/>
        <v>268055.55555555772</v>
      </c>
      <c r="C178" s="18">
        <f t="shared" si="22"/>
        <v>893.51851851852564</v>
      </c>
      <c r="D178" s="18">
        <f t="shared" si="23"/>
        <v>1388.8888888888889</v>
      </c>
      <c r="E178" s="18">
        <f t="shared" si="24"/>
        <v>266666.66666666884</v>
      </c>
      <c r="F178" s="19">
        <f t="shared" si="25"/>
        <v>2282.4074074074147</v>
      </c>
      <c r="G178" s="20"/>
      <c r="H178" s="3">
        <f t="shared" si="26"/>
        <v>168</v>
      </c>
      <c r="I178" s="18">
        <f t="shared" si="32"/>
        <v>339370.481051663</v>
      </c>
      <c r="J178" s="18">
        <f t="shared" si="27"/>
        <v>1131.2349368388766</v>
      </c>
      <c r="K178" s="18">
        <f t="shared" si="28"/>
        <v>1255.8415404884211</v>
      </c>
      <c r="L178" s="18">
        <f t="shared" si="29"/>
        <v>338114.63951117458</v>
      </c>
      <c r="M178" s="19">
        <f t="shared" si="30"/>
        <v>2387.0764773272977</v>
      </c>
    </row>
    <row r="179" spans="1:13" x14ac:dyDescent="0.25">
      <c r="A179" s="3">
        <f>IF(B179&lt;&gt;"",169,"")</f>
        <v>169</v>
      </c>
      <c r="B179" s="18">
        <f t="shared" si="31"/>
        <v>266666.66666666884</v>
      </c>
      <c r="C179" s="18">
        <f t="shared" si="22"/>
        <v>888.88888888889608</v>
      </c>
      <c r="D179" s="18">
        <f t="shared" si="23"/>
        <v>1388.8888888888889</v>
      </c>
      <c r="E179" s="18">
        <f t="shared" si="24"/>
        <v>265277.77777777996</v>
      </c>
      <c r="F179" s="19">
        <f t="shared" si="25"/>
        <v>2277.7777777777851</v>
      </c>
      <c r="G179" s="20"/>
      <c r="H179" s="3">
        <f t="shared" si="26"/>
        <v>169</v>
      </c>
      <c r="I179" s="18">
        <f t="shared" si="32"/>
        <v>338114.63951117458</v>
      </c>
      <c r="J179" s="18">
        <f t="shared" si="27"/>
        <v>1127.0487983705818</v>
      </c>
      <c r="K179" s="18">
        <f t="shared" si="28"/>
        <v>1260.0276789567158</v>
      </c>
      <c r="L179" s="18">
        <f t="shared" si="29"/>
        <v>336854.61183221784</v>
      </c>
      <c r="M179" s="19">
        <f t="shared" si="30"/>
        <v>2387.0764773272977</v>
      </c>
    </row>
    <row r="180" spans="1:13" x14ac:dyDescent="0.25">
      <c r="A180" s="3">
        <f>IF(B180&lt;&gt;"",170,"")</f>
        <v>170</v>
      </c>
      <c r="B180" s="18">
        <f t="shared" si="31"/>
        <v>265277.77777777996</v>
      </c>
      <c r="C180" s="18">
        <f t="shared" si="22"/>
        <v>884.25925925926651</v>
      </c>
      <c r="D180" s="18">
        <f t="shared" si="23"/>
        <v>1388.8888888888889</v>
      </c>
      <c r="E180" s="18">
        <f t="shared" si="24"/>
        <v>263888.88888889109</v>
      </c>
      <c r="F180" s="19">
        <f t="shared" si="25"/>
        <v>2273.1481481481555</v>
      </c>
      <c r="G180" s="20"/>
      <c r="H180" s="3">
        <f t="shared" si="26"/>
        <v>170</v>
      </c>
      <c r="I180" s="18">
        <f t="shared" si="32"/>
        <v>336854.61183221784</v>
      </c>
      <c r="J180" s="18">
        <f t="shared" si="27"/>
        <v>1122.8487061073927</v>
      </c>
      <c r="K180" s="18">
        <f t="shared" si="28"/>
        <v>1264.227771219905</v>
      </c>
      <c r="L180" s="18">
        <f t="shared" si="29"/>
        <v>335590.38406099792</v>
      </c>
      <c r="M180" s="19">
        <f t="shared" si="30"/>
        <v>2387.0764773272977</v>
      </c>
    </row>
    <row r="181" spans="1:13" x14ac:dyDescent="0.25">
      <c r="A181" s="3">
        <f>IF(B181&lt;&gt;"",171,"")</f>
        <v>171</v>
      </c>
      <c r="B181" s="18">
        <f t="shared" si="31"/>
        <v>263888.88888889109</v>
      </c>
      <c r="C181" s="18">
        <f t="shared" si="22"/>
        <v>879.62962962963695</v>
      </c>
      <c r="D181" s="18">
        <f t="shared" si="23"/>
        <v>1388.8888888888889</v>
      </c>
      <c r="E181" s="18">
        <f t="shared" si="24"/>
        <v>262500.00000000221</v>
      </c>
      <c r="F181" s="19">
        <f t="shared" si="25"/>
        <v>2268.518518518526</v>
      </c>
      <c r="G181" s="20"/>
      <c r="H181" s="3">
        <f t="shared" si="26"/>
        <v>171</v>
      </c>
      <c r="I181" s="18">
        <f t="shared" si="32"/>
        <v>335590.38406099792</v>
      </c>
      <c r="J181" s="18">
        <f t="shared" si="27"/>
        <v>1118.6346135366598</v>
      </c>
      <c r="K181" s="18">
        <f t="shared" si="28"/>
        <v>1268.4418637906379</v>
      </c>
      <c r="L181" s="18">
        <f t="shared" si="29"/>
        <v>334321.9421972073</v>
      </c>
      <c r="M181" s="19">
        <f t="shared" si="30"/>
        <v>2387.0764773272977</v>
      </c>
    </row>
    <row r="182" spans="1:13" x14ac:dyDescent="0.25">
      <c r="A182" s="3">
        <f>IF(B182&lt;&gt;"",172,"")</f>
        <v>172</v>
      </c>
      <c r="B182" s="18">
        <f t="shared" si="31"/>
        <v>262500.00000000221</v>
      </c>
      <c r="C182" s="18">
        <f t="shared" si="22"/>
        <v>875.00000000000739</v>
      </c>
      <c r="D182" s="18">
        <f t="shared" si="23"/>
        <v>1388.8888888888889</v>
      </c>
      <c r="E182" s="18">
        <f t="shared" si="24"/>
        <v>261111.11111111334</v>
      </c>
      <c r="F182" s="19">
        <f t="shared" si="25"/>
        <v>2263.8888888888964</v>
      </c>
      <c r="G182" s="20"/>
      <c r="H182" s="3">
        <f t="shared" si="26"/>
        <v>172</v>
      </c>
      <c r="I182" s="18">
        <f t="shared" si="32"/>
        <v>334321.9421972073</v>
      </c>
      <c r="J182" s="18">
        <f t="shared" si="27"/>
        <v>1114.406473990691</v>
      </c>
      <c r="K182" s="18">
        <f t="shared" si="28"/>
        <v>1272.6700033366067</v>
      </c>
      <c r="L182" s="18">
        <f t="shared" si="29"/>
        <v>333049.27219387068</v>
      </c>
      <c r="M182" s="19">
        <f t="shared" si="30"/>
        <v>2387.0764773272977</v>
      </c>
    </row>
    <row r="183" spans="1:13" x14ac:dyDescent="0.25">
      <c r="A183" s="3">
        <f>IF(B183&lt;&gt;"",173,"")</f>
        <v>173</v>
      </c>
      <c r="B183" s="18">
        <f t="shared" si="31"/>
        <v>261111.11111111334</v>
      </c>
      <c r="C183" s="18">
        <f t="shared" si="22"/>
        <v>870.37037037037783</v>
      </c>
      <c r="D183" s="18">
        <f t="shared" si="23"/>
        <v>1388.8888888888889</v>
      </c>
      <c r="E183" s="18">
        <f t="shared" si="24"/>
        <v>259722.22222222446</v>
      </c>
      <c r="F183" s="19">
        <f t="shared" si="25"/>
        <v>2259.2592592592669</v>
      </c>
      <c r="G183" s="20"/>
      <c r="H183" s="3">
        <f t="shared" si="26"/>
        <v>173</v>
      </c>
      <c r="I183" s="18">
        <f t="shared" si="32"/>
        <v>333049.27219387068</v>
      </c>
      <c r="J183" s="18">
        <f t="shared" si="27"/>
        <v>1110.1642406462356</v>
      </c>
      <c r="K183" s="18">
        <f t="shared" si="28"/>
        <v>1276.912236681062</v>
      </c>
      <c r="L183" s="18">
        <f t="shared" si="29"/>
        <v>331772.35995718965</v>
      </c>
      <c r="M183" s="19">
        <f t="shared" si="30"/>
        <v>2387.0764773272977</v>
      </c>
    </row>
    <row r="184" spans="1:13" x14ac:dyDescent="0.25">
      <c r="A184" s="3">
        <f>IF(B184&lt;&gt;"",174,"")</f>
        <v>174</v>
      </c>
      <c r="B184" s="18">
        <f t="shared" si="31"/>
        <v>259722.22222222446</v>
      </c>
      <c r="C184" s="18">
        <f t="shared" si="22"/>
        <v>865.74074074074815</v>
      </c>
      <c r="D184" s="18">
        <f t="shared" si="23"/>
        <v>1388.8888888888889</v>
      </c>
      <c r="E184" s="18">
        <f t="shared" si="24"/>
        <v>258333.33333333558</v>
      </c>
      <c r="F184" s="19">
        <f t="shared" si="25"/>
        <v>2254.6296296296368</v>
      </c>
      <c r="G184" s="20"/>
      <c r="H184" s="3">
        <f t="shared" si="26"/>
        <v>174</v>
      </c>
      <c r="I184" s="18">
        <f t="shared" si="32"/>
        <v>331772.35995718965</v>
      </c>
      <c r="J184" s="18">
        <f t="shared" si="27"/>
        <v>1105.9078665239656</v>
      </c>
      <c r="K184" s="18">
        <f t="shared" si="28"/>
        <v>1281.1686108033321</v>
      </c>
      <c r="L184" s="18">
        <f t="shared" si="29"/>
        <v>330491.19134638633</v>
      </c>
      <c r="M184" s="19">
        <f t="shared" si="30"/>
        <v>2387.0764773272977</v>
      </c>
    </row>
    <row r="185" spans="1:13" x14ac:dyDescent="0.25">
      <c r="A185" s="3">
        <f>IF(B185&lt;&gt;"",175,"")</f>
        <v>175</v>
      </c>
      <c r="B185" s="18">
        <f t="shared" si="31"/>
        <v>258333.33333333558</v>
      </c>
      <c r="C185" s="18">
        <f t="shared" si="22"/>
        <v>861.11111111111859</v>
      </c>
      <c r="D185" s="18">
        <f t="shared" si="23"/>
        <v>1388.8888888888889</v>
      </c>
      <c r="E185" s="18">
        <f t="shared" si="24"/>
        <v>256944.44444444671</v>
      </c>
      <c r="F185" s="19">
        <f t="shared" si="25"/>
        <v>2250.0000000000073</v>
      </c>
      <c r="G185" s="20"/>
      <c r="H185" s="3">
        <f t="shared" si="26"/>
        <v>175</v>
      </c>
      <c r="I185" s="18">
        <f t="shared" si="32"/>
        <v>330491.19134638633</v>
      </c>
      <c r="J185" s="18">
        <f t="shared" si="27"/>
        <v>1101.6373044879545</v>
      </c>
      <c r="K185" s="18">
        <f t="shared" si="28"/>
        <v>1285.4391728393432</v>
      </c>
      <c r="L185" s="18">
        <f t="shared" si="29"/>
        <v>329205.75217354699</v>
      </c>
      <c r="M185" s="19">
        <f t="shared" si="30"/>
        <v>2387.0764773272977</v>
      </c>
    </row>
    <row r="186" spans="1:13" x14ac:dyDescent="0.25">
      <c r="A186" s="3">
        <f>IF(B186&lt;&gt;"",176,"")</f>
        <v>176</v>
      </c>
      <c r="B186" s="18">
        <f t="shared" si="31"/>
        <v>256944.44444444671</v>
      </c>
      <c r="C186" s="18">
        <f t="shared" si="22"/>
        <v>856.48148148148903</v>
      </c>
      <c r="D186" s="18">
        <f t="shared" si="23"/>
        <v>1388.8888888888889</v>
      </c>
      <c r="E186" s="18">
        <f t="shared" si="24"/>
        <v>255555.55555555783</v>
      </c>
      <c r="F186" s="19">
        <f t="shared" si="25"/>
        <v>2245.3703703703777</v>
      </c>
      <c r="G186" s="20"/>
      <c r="H186" s="3">
        <f t="shared" si="26"/>
        <v>176</v>
      </c>
      <c r="I186" s="18">
        <f t="shared" si="32"/>
        <v>329205.75217354699</v>
      </c>
      <c r="J186" s="18">
        <f t="shared" si="27"/>
        <v>1097.3525072451566</v>
      </c>
      <c r="K186" s="18">
        <f t="shared" si="28"/>
        <v>1289.723970082141</v>
      </c>
      <c r="L186" s="18">
        <f t="shared" si="29"/>
        <v>327916.02820346487</v>
      </c>
      <c r="M186" s="19">
        <f t="shared" si="30"/>
        <v>2387.0764773272977</v>
      </c>
    </row>
    <row r="187" spans="1:13" x14ac:dyDescent="0.25">
      <c r="A187" s="3">
        <f>IF(B187&lt;&gt;"",177,"")</f>
        <v>177</v>
      </c>
      <c r="B187" s="18">
        <f t="shared" si="31"/>
        <v>255555.55555555783</v>
      </c>
      <c r="C187" s="18">
        <f t="shared" si="22"/>
        <v>851.85185185185946</v>
      </c>
      <c r="D187" s="18">
        <f t="shared" si="23"/>
        <v>1388.8888888888889</v>
      </c>
      <c r="E187" s="18">
        <f t="shared" si="24"/>
        <v>254166.66666666896</v>
      </c>
      <c r="F187" s="19">
        <f t="shared" si="25"/>
        <v>2240.7407407407482</v>
      </c>
      <c r="G187" s="20"/>
      <c r="H187" s="3">
        <f t="shared" si="26"/>
        <v>177</v>
      </c>
      <c r="I187" s="18">
        <f t="shared" si="32"/>
        <v>327916.02820346487</v>
      </c>
      <c r="J187" s="18">
        <f t="shared" si="27"/>
        <v>1093.0534273448829</v>
      </c>
      <c r="K187" s="18">
        <f t="shared" si="28"/>
        <v>1294.0230499824147</v>
      </c>
      <c r="L187" s="18">
        <f t="shared" si="29"/>
        <v>326622.00515348243</v>
      </c>
      <c r="M187" s="19">
        <f t="shared" si="30"/>
        <v>2387.0764773272977</v>
      </c>
    </row>
    <row r="188" spans="1:13" x14ac:dyDescent="0.25">
      <c r="A188" s="3">
        <f>IF(B188&lt;&gt;"",178,"")</f>
        <v>178</v>
      </c>
      <c r="B188" s="18">
        <f t="shared" si="31"/>
        <v>254166.66666666896</v>
      </c>
      <c r="C188" s="18">
        <f t="shared" si="22"/>
        <v>847.2222222222299</v>
      </c>
      <c r="D188" s="18">
        <f t="shared" si="23"/>
        <v>1388.8888888888889</v>
      </c>
      <c r="E188" s="18">
        <f t="shared" si="24"/>
        <v>252777.77777778008</v>
      </c>
      <c r="F188" s="19">
        <f t="shared" si="25"/>
        <v>2236.1111111111186</v>
      </c>
      <c r="G188" s="20"/>
      <c r="H188" s="3">
        <f t="shared" si="26"/>
        <v>178</v>
      </c>
      <c r="I188" s="18">
        <f t="shared" si="32"/>
        <v>326622.00515348243</v>
      </c>
      <c r="J188" s="18">
        <f t="shared" si="27"/>
        <v>1088.7400171782749</v>
      </c>
      <c r="K188" s="18">
        <f t="shared" si="28"/>
        <v>1298.3364601490227</v>
      </c>
      <c r="L188" s="18">
        <f t="shared" si="29"/>
        <v>325323.6686933334</v>
      </c>
      <c r="M188" s="19">
        <f t="shared" si="30"/>
        <v>2387.0764773272977</v>
      </c>
    </row>
    <row r="189" spans="1:13" x14ac:dyDescent="0.25">
      <c r="A189" s="3">
        <f>IF(B189&lt;&gt;"",179,"")</f>
        <v>179</v>
      </c>
      <c r="B189" s="18">
        <f t="shared" si="31"/>
        <v>252777.77777778008</v>
      </c>
      <c r="C189" s="18">
        <f t="shared" si="22"/>
        <v>842.59259259260034</v>
      </c>
      <c r="D189" s="18">
        <f t="shared" si="23"/>
        <v>1388.8888888888889</v>
      </c>
      <c r="E189" s="18">
        <f t="shared" si="24"/>
        <v>251388.8888888912</v>
      </c>
      <c r="F189" s="19">
        <f t="shared" si="25"/>
        <v>2231.481481481489</v>
      </c>
      <c r="G189" s="20"/>
      <c r="H189" s="3">
        <f t="shared" si="26"/>
        <v>179</v>
      </c>
      <c r="I189" s="18">
        <f t="shared" si="32"/>
        <v>325323.6686933334</v>
      </c>
      <c r="J189" s="18">
        <f t="shared" si="27"/>
        <v>1084.4122289777781</v>
      </c>
      <c r="K189" s="18">
        <f t="shared" si="28"/>
        <v>1302.6642483495195</v>
      </c>
      <c r="L189" s="18">
        <f t="shared" si="29"/>
        <v>324021.0044449839</v>
      </c>
      <c r="M189" s="19">
        <f t="shared" si="30"/>
        <v>2387.0764773272977</v>
      </c>
    </row>
    <row r="190" spans="1:13" x14ac:dyDescent="0.25">
      <c r="A190" s="3">
        <f>IF(B190&lt;&gt;"",180,"")</f>
        <v>180</v>
      </c>
      <c r="B190" s="18">
        <f t="shared" si="31"/>
        <v>251388.8888888912</v>
      </c>
      <c r="C190" s="18">
        <f t="shared" si="22"/>
        <v>837.96296296297066</v>
      </c>
      <c r="D190" s="18">
        <f t="shared" si="23"/>
        <v>1388.8888888888889</v>
      </c>
      <c r="E190" s="18">
        <f t="shared" si="24"/>
        <v>250000.00000000233</v>
      </c>
      <c r="F190" s="19">
        <f t="shared" si="25"/>
        <v>2226.8518518518595</v>
      </c>
      <c r="G190" s="20"/>
      <c r="H190" s="3">
        <f t="shared" si="26"/>
        <v>180</v>
      </c>
      <c r="I190" s="18">
        <f t="shared" si="32"/>
        <v>324021.0044449839</v>
      </c>
      <c r="J190" s="18">
        <f t="shared" si="27"/>
        <v>1080.0700148166131</v>
      </c>
      <c r="K190" s="18">
        <f t="shared" si="28"/>
        <v>1307.0064625106845</v>
      </c>
      <c r="L190" s="18">
        <f t="shared" si="29"/>
        <v>322713.99798247323</v>
      </c>
      <c r="M190" s="19">
        <f t="shared" si="30"/>
        <v>2387.0764773272977</v>
      </c>
    </row>
    <row r="191" spans="1:13" x14ac:dyDescent="0.25">
      <c r="A191" s="3">
        <f>IF(B191&lt;&gt;"",181,"")</f>
        <v>181</v>
      </c>
      <c r="B191" s="18">
        <f t="shared" si="31"/>
        <v>250000.00000000233</v>
      </c>
      <c r="C191" s="18">
        <f t="shared" si="22"/>
        <v>833.3333333333411</v>
      </c>
      <c r="D191" s="18">
        <f t="shared" si="23"/>
        <v>1388.8888888888889</v>
      </c>
      <c r="E191" s="18">
        <f t="shared" si="24"/>
        <v>248611.11111111345</v>
      </c>
      <c r="F191" s="19">
        <f t="shared" si="25"/>
        <v>2222.2222222222299</v>
      </c>
      <c r="G191" s="20"/>
      <c r="H191" s="3">
        <f t="shared" si="26"/>
        <v>181</v>
      </c>
      <c r="I191" s="18">
        <f t="shared" si="32"/>
        <v>322713.99798247323</v>
      </c>
      <c r="J191" s="18">
        <f t="shared" si="27"/>
        <v>1075.7133266082442</v>
      </c>
      <c r="K191" s="18">
        <f t="shared" si="28"/>
        <v>1311.3631507190535</v>
      </c>
      <c r="L191" s="18">
        <f t="shared" si="29"/>
        <v>321402.6348317542</v>
      </c>
      <c r="M191" s="19">
        <f t="shared" si="30"/>
        <v>2387.0764773272977</v>
      </c>
    </row>
    <row r="192" spans="1:13" x14ac:dyDescent="0.25">
      <c r="A192" s="3">
        <f>IF(B192&lt;&gt;"",182,"")</f>
        <v>182</v>
      </c>
      <c r="B192" s="18">
        <f t="shared" si="31"/>
        <v>248611.11111111345</v>
      </c>
      <c r="C192" s="18">
        <f t="shared" si="22"/>
        <v>828.70370370371154</v>
      </c>
      <c r="D192" s="18">
        <f t="shared" si="23"/>
        <v>1388.8888888888889</v>
      </c>
      <c r="E192" s="18">
        <f t="shared" si="24"/>
        <v>247222.22222222458</v>
      </c>
      <c r="F192" s="19">
        <f t="shared" si="25"/>
        <v>2217.5925925926003</v>
      </c>
      <c r="G192" s="20"/>
      <c r="H192" s="3">
        <f t="shared" si="26"/>
        <v>182</v>
      </c>
      <c r="I192" s="18">
        <f t="shared" si="32"/>
        <v>321402.6348317542</v>
      </c>
      <c r="J192" s="18">
        <f t="shared" si="27"/>
        <v>1071.3421161058475</v>
      </c>
      <c r="K192" s="18">
        <f t="shared" si="28"/>
        <v>1315.7343612214502</v>
      </c>
      <c r="L192" s="18">
        <f t="shared" si="29"/>
        <v>320086.90047053277</v>
      </c>
      <c r="M192" s="19">
        <f t="shared" si="30"/>
        <v>2387.0764773272977</v>
      </c>
    </row>
    <row r="193" spans="1:13" x14ac:dyDescent="0.25">
      <c r="A193" s="3">
        <f>IF(B193&lt;&gt;"",183,"")</f>
        <v>183</v>
      </c>
      <c r="B193" s="18">
        <f t="shared" si="31"/>
        <v>247222.22222222458</v>
      </c>
      <c r="C193" s="18">
        <f t="shared" si="22"/>
        <v>824.07407407408198</v>
      </c>
      <c r="D193" s="18">
        <f t="shared" si="23"/>
        <v>1388.8888888888889</v>
      </c>
      <c r="E193" s="18">
        <f t="shared" si="24"/>
        <v>245833.3333333357</v>
      </c>
      <c r="F193" s="19">
        <f t="shared" si="25"/>
        <v>2212.9629629629708</v>
      </c>
      <c r="G193" s="20"/>
      <c r="H193" s="3">
        <f t="shared" si="26"/>
        <v>183</v>
      </c>
      <c r="I193" s="18">
        <f t="shared" si="32"/>
        <v>320086.90047053277</v>
      </c>
      <c r="J193" s="18">
        <f t="shared" si="27"/>
        <v>1066.956334901776</v>
      </c>
      <c r="K193" s="18">
        <f t="shared" si="28"/>
        <v>1320.1201424255216</v>
      </c>
      <c r="L193" s="18">
        <f t="shared" si="29"/>
        <v>318766.78032810724</v>
      </c>
      <c r="M193" s="19">
        <f t="shared" si="30"/>
        <v>2387.0764773272977</v>
      </c>
    </row>
    <row r="194" spans="1:13" x14ac:dyDescent="0.25">
      <c r="A194" s="3">
        <f>IF(B194&lt;&gt;"",184,"")</f>
        <v>184</v>
      </c>
      <c r="B194" s="18">
        <f t="shared" si="31"/>
        <v>245833.3333333357</v>
      </c>
      <c r="C194" s="18">
        <f t="shared" si="22"/>
        <v>819.44444444445242</v>
      </c>
      <c r="D194" s="18">
        <f t="shared" si="23"/>
        <v>1388.8888888888889</v>
      </c>
      <c r="E194" s="18">
        <f t="shared" si="24"/>
        <v>244444.44444444682</v>
      </c>
      <c r="F194" s="19">
        <f t="shared" si="25"/>
        <v>2208.3333333333412</v>
      </c>
      <c r="G194" s="20"/>
      <c r="H194" s="3">
        <f t="shared" si="26"/>
        <v>184</v>
      </c>
      <c r="I194" s="18">
        <f t="shared" si="32"/>
        <v>318766.78032810724</v>
      </c>
      <c r="J194" s="18">
        <f t="shared" si="27"/>
        <v>1062.5559344270241</v>
      </c>
      <c r="K194" s="18">
        <f t="shared" si="28"/>
        <v>1324.5205429002735</v>
      </c>
      <c r="L194" s="18">
        <f t="shared" si="29"/>
        <v>317442.25978520699</v>
      </c>
      <c r="M194" s="19">
        <f t="shared" si="30"/>
        <v>2387.0764773272977</v>
      </c>
    </row>
    <row r="195" spans="1:13" x14ac:dyDescent="0.25">
      <c r="A195" s="3">
        <f>IF(B195&lt;&gt;"",185,"")</f>
        <v>185</v>
      </c>
      <c r="B195" s="18">
        <f t="shared" si="31"/>
        <v>244444.44444444682</v>
      </c>
      <c r="C195" s="18">
        <f t="shared" si="22"/>
        <v>814.81481481482285</v>
      </c>
      <c r="D195" s="18">
        <f t="shared" si="23"/>
        <v>1388.8888888888889</v>
      </c>
      <c r="E195" s="18">
        <f t="shared" si="24"/>
        <v>243055.55555555795</v>
      </c>
      <c r="F195" s="19">
        <f t="shared" si="25"/>
        <v>2203.7037037037117</v>
      </c>
      <c r="G195" s="20"/>
      <c r="H195" s="3">
        <f t="shared" si="26"/>
        <v>185</v>
      </c>
      <c r="I195" s="18">
        <f t="shared" si="32"/>
        <v>317442.25978520699</v>
      </c>
      <c r="J195" s="18">
        <f t="shared" si="27"/>
        <v>1058.1408659506899</v>
      </c>
      <c r="K195" s="18">
        <f t="shared" si="28"/>
        <v>1328.9356113766078</v>
      </c>
      <c r="L195" s="18">
        <f t="shared" si="29"/>
        <v>316113.32417383039</v>
      </c>
      <c r="M195" s="19">
        <f t="shared" si="30"/>
        <v>2387.0764773272977</v>
      </c>
    </row>
    <row r="196" spans="1:13" x14ac:dyDescent="0.25">
      <c r="A196" s="3">
        <f>IF(B196&lt;&gt;"",186,"")</f>
        <v>186</v>
      </c>
      <c r="B196" s="18">
        <f t="shared" si="31"/>
        <v>243055.55555555795</v>
      </c>
      <c r="C196" s="18">
        <f t="shared" si="22"/>
        <v>810.18518518519329</v>
      </c>
      <c r="D196" s="18">
        <f t="shared" si="23"/>
        <v>1388.8888888888889</v>
      </c>
      <c r="E196" s="18">
        <f t="shared" si="24"/>
        <v>241666.66666666907</v>
      </c>
      <c r="F196" s="19">
        <f t="shared" si="25"/>
        <v>2199.0740740740821</v>
      </c>
      <c r="G196" s="20"/>
      <c r="H196" s="3">
        <f t="shared" si="26"/>
        <v>186</v>
      </c>
      <c r="I196" s="18">
        <f t="shared" si="32"/>
        <v>316113.32417383039</v>
      </c>
      <c r="J196" s="18">
        <f t="shared" si="27"/>
        <v>1053.7110805794348</v>
      </c>
      <c r="K196" s="18">
        <f t="shared" si="28"/>
        <v>1333.3653967478629</v>
      </c>
      <c r="L196" s="18">
        <f t="shared" si="29"/>
        <v>314779.9587770825</v>
      </c>
      <c r="M196" s="19">
        <f t="shared" si="30"/>
        <v>2387.0764773272977</v>
      </c>
    </row>
    <row r="197" spans="1:13" x14ac:dyDescent="0.25">
      <c r="A197" s="3">
        <f>IF(B197&lt;&gt;"",187,"")</f>
        <v>187</v>
      </c>
      <c r="B197" s="18">
        <f t="shared" si="31"/>
        <v>241666.66666666907</v>
      </c>
      <c r="C197" s="18">
        <f t="shared" si="22"/>
        <v>805.5555555555635</v>
      </c>
      <c r="D197" s="18">
        <f t="shared" si="23"/>
        <v>1388.8888888888889</v>
      </c>
      <c r="E197" s="18">
        <f t="shared" si="24"/>
        <v>240277.7777777802</v>
      </c>
      <c r="F197" s="19">
        <f t="shared" si="25"/>
        <v>2194.4444444444525</v>
      </c>
      <c r="G197" s="20"/>
      <c r="H197" s="3">
        <f t="shared" si="26"/>
        <v>187</v>
      </c>
      <c r="I197" s="18">
        <f t="shared" si="32"/>
        <v>314779.9587770825</v>
      </c>
      <c r="J197" s="18">
        <f t="shared" si="27"/>
        <v>1049.2665292569416</v>
      </c>
      <c r="K197" s="18">
        <f t="shared" si="28"/>
        <v>1337.8099480703561</v>
      </c>
      <c r="L197" s="18">
        <f t="shared" si="29"/>
        <v>313442.14882901212</v>
      </c>
      <c r="M197" s="19">
        <f t="shared" si="30"/>
        <v>2387.0764773272977</v>
      </c>
    </row>
    <row r="198" spans="1:13" x14ac:dyDescent="0.25">
      <c r="A198" s="3">
        <f>IF(B198&lt;&gt;"",188,"")</f>
        <v>188</v>
      </c>
      <c r="B198" s="18">
        <f t="shared" si="31"/>
        <v>240277.7777777802</v>
      </c>
      <c r="C198" s="18">
        <f t="shared" si="22"/>
        <v>800.92592592593394</v>
      </c>
      <c r="D198" s="18">
        <f t="shared" si="23"/>
        <v>1388.8888888888889</v>
      </c>
      <c r="E198" s="18">
        <f t="shared" si="24"/>
        <v>238888.88888889132</v>
      </c>
      <c r="F198" s="19">
        <f t="shared" si="25"/>
        <v>2189.814814814823</v>
      </c>
      <c r="G198" s="20"/>
      <c r="H198" s="3">
        <f t="shared" si="26"/>
        <v>188</v>
      </c>
      <c r="I198" s="18">
        <f t="shared" si="32"/>
        <v>313442.14882901212</v>
      </c>
      <c r="J198" s="18">
        <f t="shared" si="27"/>
        <v>1044.8071627633738</v>
      </c>
      <c r="K198" s="18">
        <f t="shared" si="28"/>
        <v>1342.2693145639239</v>
      </c>
      <c r="L198" s="18">
        <f t="shared" si="29"/>
        <v>312099.87951444817</v>
      </c>
      <c r="M198" s="19">
        <f t="shared" si="30"/>
        <v>2387.0764773272977</v>
      </c>
    </row>
    <row r="199" spans="1:13" x14ac:dyDescent="0.25">
      <c r="A199" s="3">
        <f>IF(B199&lt;&gt;"",189,"")</f>
        <v>189</v>
      </c>
      <c r="B199" s="18">
        <f t="shared" si="31"/>
        <v>238888.88888889132</v>
      </c>
      <c r="C199" s="18">
        <f t="shared" si="22"/>
        <v>796.29629629630438</v>
      </c>
      <c r="D199" s="18">
        <f t="shared" si="23"/>
        <v>1388.8888888888889</v>
      </c>
      <c r="E199" s="18">
        <f t="shared" si="24"/>
        <v>237500.00000000244</v>
      </c>
      <c r="F199" s="19">
        <f t="shared" si="25"/>
        <v>2185.1851851851934</v>
      </c>
      <c r="G199" s="20"/>
      <c r="H199" s="3">
        <f t="shared" si="26"/>
        <v>189</v>
      </c>
      <c r="I199" s="18">
        <f t="shared" si="32"/>
        <v>312099.87951444817</v>
      </c>
      <c r="J199" s="18">
        <f t="shared" si="27"/>
        <v>1040.3329317148273</v>
      </c>
      <c r="K199" s="18">
        <f t="shared" si="28"/>
        <v>1346.7435456124704</v>
      </c>
      <c r="L199" s="18">
        <f t="shared" si="29"/>
        <v>310753.13596883568</v>
      </c>
      <c r="M199" s="19">
        <f t="shared" si="30"/>
        <v>2387.0764773272977</v>
      </c>
    </row>
    <row r="200" spans="1:13" x14ac:dyDescent="0.25">
      <c r="A200" s="3">
        <f>IF(B200&lt;&gt;"",190,"")</f>
        <v>190</v>
      </c>
      <c r="B200" s="18">
        <f t="shared" si="31"/>
        <v>237500.00000000244</v>
      </c>
      <c r="C200" s="18">
        <f t="shared" si="22"/>
        <v>791.66666666667481</v>
      </c>
      <c r="D200" s="18">
        <f t="shared" si="23"/>
        <v>1388.8888888888889</v>
      </c>
      <c r="E200" s="18">
        <f t="shared" si="24"/>
        <v>236111.11111111357</v>
      </c>
      <c r="F200" s="19">
        <f t="shared" si="25"/>
        <v>2180.5555555555638</v>
      </c>
      <c r="G200" s="20"/>
      <c r="H200" s="3">
        <f t="shared" si="26"/>
        <v>190</v>
      </c>
      <c r="I200" s="18">
        <f t="shared" si="32"/>
        <v>310753.13596883568</v>
      </c>
      <c r="J200" s="18">
        <f t="shared" si="27"/>
        <v>1035.8437865627857</v>
      </c>
      <c r="K200" s="18">
        <f t="shared" si="28"/>
        <v>1351.232690764512</v>
      </c>
      <c r="L200" s="18">
        <f t="shared" si="29"/>
        <v>309401.90327807114</v>
      </c>
      <c r="M200" s="19">
        <f t="shared" si="30"/>
        <v>2387.0764773272977</v>
      </c>
    </row>
    <row r="201" spans="1:13" x14ac:dyDescent="0.25">
      <c r="A201" s="3">
        <f>IF(B201&lt;&gt;"",191,"")</f>
        <v>191</v>
      </c>
      <c r="B201" s="18">
        <f t="shared" si="31"/>
        <v>236111.11111111357</v>
      </c>
      <c r="C201" s="18">
        <f t="shared" si="22"/>
        <v>787.03703703704525</v>
      </c>
      <c r="D201" s="18">
        <f t="shared" si="23"/>
        <v>1388.8888888888889</v>
      </c>
      <c r="E201" s="18">
        <f t="shared" si="24"/>
        <v>234722.22222222469</v>
      </c>
      <c r="F201" s="19">
        <f t="shared" si="25"/>
        <v>2175.9259259259343</v>
      </c>
      <c r="G201" s="20"/>
      <c r="H201" s="3">
        <f t="shared" si="26"/>
        <v>191</v>
      </c>
      <c r="I201" s="18">
        <f t="shared" si="32"/>
        <v>309401.90327807114</v>
      </c>
      <c r="J201" s="18">
        <f t="shared" si="27"/>
        <v>1031.3396775935705</v>
      </c>
      <c r="K201" s="18">
        <f t="shared" si="28"/>
        <v>1355.7367997337271</v>
      </c>
      <c r="L201" s="18">
        <f t="shared" si="29"/>
        <v>308046.16647833743</v>
      </c>
      <c r="M201" s="19">
        <f t="shared" si="30"/>
        <v>2387.0764773272977</v>
      </c>
    </row>
    <row r="202" spans="1:13" x14ac:dyDescent="0.25">
      <c r="A202" s="3">
        <f>IF(B202&lt;&gt;"",192,"")</f>
        <v>192</v>
      </c>
      <c r="B202" s="18">
        <f t="shared" si="31"/>
        <v>234722.22222222469</v>
      </c>
      <c r="C202" s="18">
        <f t="shared" si="22"/>
        <v>782.40740740741569</v>
      </c>
      <c r="D202" s="18">
        <f t="shared" si="23"/>
        <v>1388.8888888888889</v>
      </c>
      <c r="E202" s="18">
        <f t="shared" si="24"/>
        <v>233333.33333333582</v>
      </c>
      <c r="F202" s="19">
        <f t="shared" si="25"/>
        <v>2171.2962962963047</v>
      </c>
      <c r="G202" s="20"/>
      <c r="H202" s="3">
        <f t="shared" si="26"/>
        <v>192</v>
      </c>
      <c r="I202" s="18">
        <f t="shared" si="32"/>
        <v>308046.16647833743</v>
      </c>
      <c r="J202" s="18">
        <f t="shared" si="27"/>
        <v>1026.8205549277916</v>
      </c>
      <c r="K202" s="18">
        <f t="shared" si="28"/>
        <v>1360.2559223995061</v>
      </c>
      <c r="L202" s="18">
        <f t="shared" si="29"/>
        <v>306685.91055593791</v>
      </c>
      <c r="M202" s="19">
        <f t="shared" si="30"/>
        <v>2387.0764773272977</v>
      </c>
    </row>
    <row r="203" spans="1:13" x14ac:dyDescent="0.25">
      <c r="A203" s="3">
        <f>IF(B203&lt;&gt;"",193,"")</f>
        <v>193</v>
      </c>
      <c r="B203" s="18">
        <f t="shared" si="31"/>
        <v>233333.33333333582</v>
      </c>
      <c r="C203" s="18">
        <f t="shared" si="22"/>
        <v>777.77777777778601</v>
      </c>
      <c r="D203" s="18">
        <f t="shared" si="23"/>
        <v>1388.8888888888889</v>
      </c>
      <c r="E203" s="18">
        <f t="shared" si="24"/>
        <v>231944.44444444694</v>
      </c>
      <c r="F203" s="19">
        <f t="shared" si="25"/>
        <v>2166.6666666666752</v>
      </c>
      <c r="G203" s="20"/>
      <c r="H203" s="3">
        <f t="shared" si="26"/>
        <v>193</v>
      </c>
      <c r="I203" s="18">
        <f t="shared" si="32"/>
        <v>306685.91055593791</v>
      </c>
      <c r="J203" s="18">
        <f t="shared" si="27"/>
        <v>1022.2863685197931</v>
      </c>
      <c r="K203" s="18">
        <f t="shared" si="28"/>
        <v>1364.7901088075046</v>
      </c>
      <c r="L203" s="18">
        <f t="shared" si="29"/>
        <v>305321.12044713041</v>
      </c>
      <c r="M203" s="19">
        <f t="shared" si="30"/>
        <v>2387.0764773272977</v>
      </c>
    </row>
    <row r="204" spans="1:13" x14ac:dyDescent="0.25">
      <c r="A204" s="3">
        <f>IF(B204&lt;&gt;"",194,"")</f>
        <v>194</v>
      </c>
      <c r="B204" s="18">
        <f t="shared" si="31"/>
        <v>231944.44444444694</v>
      </c>
      <c r="C204" s="18">
        <f t="shared" ref="C204:C267" si="33">IFERROR(B204*$G$4/12,"")</f>
        <v>773.14814814815645</v>
      </c>
      <c r="D204" s="18">
        <f t="shared" ref="D204:D267" si="34">IF(A204&lt;&gt;"",$G$3/$G$5,"")</f>
        <v>1388.8888888888889</v>
      </c>
      <c r="E204" s="18">
        <f t="shared" ref="E204:E267" si="35">IF(A204&lt;&gt;"",B204-D204,"")</f>
        <v>230555.55555555806</v>
      </c>
      <c r="F204" s="19">
        <f t="shared" ref="F204:F267" si="36">IF(A204&lt;&gt;"",C204+D204,"")</f>
        <v>2162.0370370370456</v>
      </c>
      <c r="G204" s="20"/>
      <c r="H204" s="3">
        <f t="shared" ref="H204:H267" si="37">A204</f>
        <v>194</v>
      </c>
      <c r="I204" s="18">
        <f t="shared" si="32"/>
        <v>305321.12044713041</v>
      </c>
      <c r="J204" s="18">
        <f t="shared" ref="J204:J267" si="38">IFERROR(I204*$G$4/12,"")</f>
        <v>1017.7370681571014</v>
      </c>
      <c r="K204" s="18">
        <f t="shared" ref="K204:K267" si="39">IFERROR(M204-J204,"")</f>
        <v>1369.3394091701962</v>
      </c>
      <c r="L204" s="18">
        <f t="shared" ref="L204:L267" si="40">IFERROR(I204-K204,"")</f>
        <v>303951.7810379602</v>
      </c>
      <c r="M204" s="19">
        <f t="shared" ref="M204:M267" si="41">IF(H204&lt;&gt;"",-PMT($G$4/12,$G$5,$G$3),"")</f>
        <v>2387.0764773272977</v>
      </c>
    </row>
    <row r="205" spans="1:13" x14ac:dyDescent="0.25">
      <c r="A205" s="3">
        <f>IF(B205&lt;&gt;"",195,"")</f>
        <v>195</v>
      </c>
      <c r="B205" s="18">
        <f t="shared" ref="B205:B268" si="42">IFERROR(IF(B204-D204&gt;=0.01,B204-D204,""),"")</f>
        <v>230555.55555555806</v>
      </c>
      <c r="C205" s="18">
        <f t="shared" si="33"/>
        <v>768.51851851852689</v>
      </c>
      <c r="D205" s="18">
        <f t="shared" si="34"/>
        <v>1388.8888888888889</v>
      </c>
      <c r="E205" s="18">
        <f t="shared" si="35"/>
        <v>229166.66666666919</v>
      </c>
      <c r="F205" s="19">
        <f t="shared" si="36"/>
        <v>2157.407407407416</v>
      </c>
      <c r="G205" s="20"/>
      <c r="H205" s="3">
        <f t="shared" si="37"/>
        <v>195</v>
      </c>
      <c r="I205" s="18">
        <f t="shared" ref="I205:I268" si="43">IFERROR(IF(I204-K204&gt;=0.01,I204-K204,""),"")</f>
        <v>303951.7810379602</v>
      </c>
      <c r="J205" s="18">
        <f t="shared" si="38"/>
        <v>1013.1726034598673</v>
      </c>
      <c r="K205" s="18">
        <f t="shared" si="39"/>
        <v>1373.9038738674303</v>
      </c>
      <c r="L205" s="18">
        <f t="shared" si="40"/>
        <v>302577.87716409279</v>
      </c>
      <c r="M205" s="19">
        <f t="shared" si="41"/>
        <v>2387.0764773272977</v>
      </c>
    </row>
    <row r="206" spans="1:13" x14ac:dyDescent="0.25">
      <c r="A206" s="3">
        <f>IF(B206&lt;&gt;"",196,"")</f>
        <v>196</v>
      </c>
      <c r="B206" s="18">
        <f t="shared" si="42"/>
        <v>229166.66666666919</v>
      </c>
      <c r="C206" s="18">
        <f t="shared" si="33"/>
        <v>763.88888888889733</v>
      </c>
      <c r="D206" s="18">
        <f t="shared" si="34"/>
        <v>1388.8888888888889</v>
      </c>
      <c r="E206" s="18">
        <f t="shared" si="35"/>
        <v>227777.77777778031</v>
      </c>
      <c r="F206" s="19">
        <f t="shared" si="36"/>
        <v>2152.7777777777865</v>
      </c>
      <c r="G206" s="20"/>
      <c r="H206" s="3">
        <f t="shared" si="37"/>
        <v>196</v>
      </c>
      <c r="I206" s="18">
        <f t="shared" si="43"/>
        <v>302577.87716409279</v>
      </c>
      <c r="J206" s="18">
        <f t="shared" si="38"/>
        <v>1008.5929238803093</v>
      </c>
      <c r="K206" s="18">
        <f t="shared" si="39"/>
        <v>1378.4835534469885</v>
      </c>
      <c r="L206" s="18">
        <f t="shared" si="40"/>
        <v>301199.39361064578</v>
      </c>
      <c r="M206" s="19">
        <f t="shared" si="41"/>
        <v>2387.0764773272977</v>
      </c>
    </row>
    <row r="207" spans="1:13" x14ac:dyDescent="0.25">
      <c r="A207" s="3">
        <f>IF(B207&lt;&gt;"",197,"")</f>
        <v>197</v>
      </c>
      <c r="B207" s="18">
        <f t="shared" si="42"/>
        <v>227777.77777778031</v>
      </c>
      <c r="C207" s="18">
        <f t="shared" si="33"/>
        <v>759.25925925926776</v>
      </c>
      <c r="D207" s="18">
        <f t="shared" si="34"/>
        <v>1388.8888888888889</v>
      </c>
      <c r="E207" s="18">
        <f t="shared" si="35"/>
        <v>226388.88888889144</v>
      </c>
      <c r="F207" s="19">
        <f t="shared" si="36"/>
        <v>2148.1481481481569</v>
      </c>
      <c r="G207" s="20"/>
      <c r="H207" s="3">
        <f t="shared" si="37"/>
        <v>197</v>
      </c>
      <c r="I207" s="18">
        <f t="shared" si="43"/>
        <v>301199.39361064578</v>
      </c>
      <c r="J207" s="18">
        <f t="shared" si="38"/>
        <v>1003.9979787021526</v>
      </c>
      <c r="K207" s="18">
        <f t="shared" si="39"/>
        <v>1383.0784986251451</v>
      </c>
      <c r="L207" s="18">
        <f t="shared" si="40"/>
        <v>299816.31511202065</v>
      </c>
      <c r="M207" s="19">
        <f t="shared" si="41"/>
        <v>2387.0764773272977</v>
      </c>
    </row>
    <row r="208" spans="1:13" x14ac:dyDescent="0.25">
      <c r="A208" s="3">
        <f>IF(B208&lt;&gt;"",198,"")</f>
        <v>198</v>
      </c>
      <c r="B208" s="18">
        <f t="shared" si="42"/>
        <v>226388.88888889144</v>
      </c>
      <c r="C208" s="18">
        <f t="shared" si="33"/>
        <v>754.6296296296382</v>
      </c>
      <c r="D208" s="18">
        <f t="shared" si="34"/>
        <v>1388.8888888888889</v>
      </c>
      <c r="E208" s="18">
        <f t="shared" si="35"/>
        <v>225000.00000000256</v>
      </c>
      <c r="F208" s="19">
        <f t="shared" si="36"/>
        <v>2143.5185185185273</v>
      </c>
      <c r="G208" s="20"/>
      <c r="H208" s="3">
        <f t="shared" si="37"/>
        <v>198</v>
      </c>
      <c r="I208" s="18">
        <f t="shared" si="43"/>
        <v>299816.31511202065</v>
      </c>
      <c r="J208" s="18">
        <f t="shared" si="38"/>
        <v>999.38771704006876</v>
      </c>
      <c r="K208" s="18">
        <f t="shared" si="39"/>
        <v>1387.6887602872289</v>
      </c>
      <c r="L208" s="18">
        <f t="shared" si="40"/>
        <v>298428.6263517334</v>
      </c>
      <c r="M208" s="19">
        <f t="shared" si="41"/>
        <v>2387.0764773272977</v>
      </c>
    </row>
    <row r="209" spans="1:13" x14ac:dyDescent="0.25">
      <c r="A209" s="3">
        <f>IF(B209&lt;&gt;"",199,"")</f>
        <v>199</v>
      </c>
      <c r="B209" s="18">
        <f t="shared" si="42"/>
        <v>225000.00000000256</v>
      </c>
      <c r="C209" s="18">
        <f t="shared" si="33"/>
        <v>750.00000000000853</v>
      </c>
      <c r="D209" s="18">
        <f t="shared" si="34"/>
        <v>1388.8888888888889</v>
      </c>
      <c r="E209" s="18">
        <f t="shared" si="35"/>
        <v>223611.11111111369</v>
      </c>
      <c r="F209" s="19">
        <f t="shared" si="36"/>
        <v>2138.8888888888973</v>
      </c>
      <c r="G209" s="20"/>
      <c r="H209" s="3">
        <f t="shared" si="37"/>
        <v>199</v>
      </c>
      <c r="I209" s="18">
        <f t="shared" si="43"/>
        <v>298428.6263517334</v>
      </c>
      <c r="J209" s="18">
        <f t="shared" si="38"/>
        <v>994.76208783911136</v>
      </c>
      <c r="K209" s="18">
        <f t="shared" si="39"/>
        <v>1392.3143894881864</v>
      </c>
      <c r="L209" s="18">
        <f t="shared" si="40"/>
        <v>297036.31196224521</v>
      </c>
      <c r="M209" s="19">
        <f t="shared" si="41"/>
        <v>2387.0764773272977</v>
      </c>
    </row>
    <row r="210" spans="1:13" x14ac:dyDescent="0.25">
      <c r="A210" s="3">
        <f>IF(B210&lt;&gt;"",200,"")</f>
        <v>200</v>
      </c>
      <c r="B210" s="18">
        <f t="shared" si="42"/>
        <v>223611.11111111369</v>
      </c>
      <c r="C210" s="18">
        <f t="shared" si="33"/>
        <v>745.37037037037896</v>
      </c>
      <c r="D210" s="18">
        <f t="shared" si="34"/>
        <v>1388.8888888888889</v>
      </c>
      <c r="E210" s="18">
        <f t="shared" si="35"/>
        <v>222222.22222222481</v>
      </c>
      <c r="F210" s="19">
        <f t="shared" si="36"/>
        <v>2134.2592592592678</v>
      </c>
      <c r="G210" s="20"/>
      <c r="H210" s="3">
        <f t="shared" si="37"/>
        <v>200</v>
      </c>
      <c r="I210" s="18">
        <f t="shared" si="43"/>
        <v>297036.31196224521</v>
      </c>
      <c r="J210" s="18">
        <f t="shared" si="38"/>
        <v>990.1210398741506</v>
      </c>
      <c r="K210" s="18">
        <f t="shared" si="39"/>
        <v>1396.9554374531472</v>
      </c>
      <c r="L210" s="18">
        <f t="shared" si="40"/>
        <v>295639.35652479203</v>
      </c>
      <c r="M210" s="19">
        <f t="shared" si="41"/>
        <v>2387.0764773272977</v>
      </c>
    </row>
    <row r="211" spans="1:13" x14ac:dyDescent="0.25">
      <c r="A211" s="3">
        <f>IF(B211&lt;&gt;"",201,"")</f>
        <v>201</v>
      </c>
      <c r="B211" s="18">
        <f t="shared" si="42"/>
        <v>222222.22222222481</v>
      </c>
      <c r="C211" s="18">
        <f t="shared" si="33"/>
        <v>740.7407407407494</v>
      </c>
      <c r="D211" s="18">
        <f t="shared" si="34"/>
        <v>1388.8888888888889</v>
      </c>
      <c r="E211" s="18">
        <f t="shared" si="35"/>
        <v>220833.33333333593</v>
      </c>
      <c r="F211" s="19">
        <f t="shared" si="36"/>
        <v>2129.6296296296382</v>
      </c>
      <c r="G211" s="20"/>
      <c r="H211" s="3">
        <f t="shared" si="37"/>
        <v>201</v>
      </c>
      <c r="I211" s="18">
        <f t="shared" si="43"/>
        <v>295639.35652479203</v>
      </c>
      <c r="J211" s="18">
        <f t="shared" si="38"/>
        <v>985.46452174930675</v>
      </c>
      <c r="K211" s="18">
        <f t="shared" si="39"/>
        <v>1401.611955577991</v>
      </c>
      <c r="L211" s="18">
        <f t="shared" si="40"/>
        <v>294237.74456921406</v>
      </c>
      <c r="M211" s="19">
        <f t="shared" si="41"/>
        <v>2387.0764773272977</v>
      </c>
    </row>
    <row r="212" spans="1:13" x14ac:dyDescent="0.25">
      <c r="A212" s="3">
        <f>IF(B212&lt;&gt;"",202,"")</f>
        <v>202</v>
      </c>
      <c r="B212" s="18">
        <f t="shared" si="42"/>
        <v>220833.33333333593</v>
      </c>
      <c r="C212" s="18">
        <f t="shared" si="33"/>
        <v>736.11111111111984</v>
      </c>
      <c r="D212" s="18">
        <f t="shared" si="34"/>
        <v>1388.8888888888889</v>
      </c>
      <c r="E212" s="18">
        <f t="shared" si="35"/>
        <v>219444.44444444706</v>
      </c>
      <c r="F212" s="19">
        <f t="shared" si="36"/>
        <v>2125.0000000000086</v>
      </c>
      <c r="G212" s="20"/>
      <c r="H212" s="3">
        <f t="shared" si="37"/>
        <v>202</v>
      </c>
      <c r="I212" s="18">
        <f t="shared" si="43"/>
        <v>294237.74456921406</v>
      </c>
      <c r="J212" s="18">
        <f t="shared" si="38"/>
        <v>980.79248189738018</v>
      </c>
      <c r="K212" s="18">
        <f t="shared" si="39"/>
        <v>1406.2839954299175</v>
      </c>
      <c r="L212" s="18">
        <f t="shared" si="40"/>
        <v>292831.46057378413</v>
      </c>
      <c r="M212" s="19">
        <f t="shared" si="41"/>
        <v>2387.0764773272977</v>
      </c>
    </row>
    <row r="213" spans="1:13" x14ac:dyDescent="0.25">
      <c r="A213" s="3">
        <f>IF(B213&lt;&gt;"",203,"")</f>
        <v>203</v>
      </c>
      <c r="B213" s="18">
        <f t="shared" si="42"/>
        <v>219444.44444444706</v>
      </c>
      <c r="C213" s="18">
        <f t="shared" si="33"/>
        <v>731.48148148149028</v>
      </c>
      <c r="D213" s="18">
        <f t="shared" si="34"/>
        <v>1388.8888888888889</v>
      </c>
      <c r="E213" s="18">
        <f t="shared" si="35"/>
        <v>218055.55555555818</v>
      </c>
      <c r="F213" s="19">
        <f t="shared" si="36"/>
        <v>2120.3703703703791</v>
      </c>
      <c r="G213" s="20"/>
      <c r="H213" s="3">
        <f t="shared" si="37"/>
        <v>203</v>
      </c>
      <c r="I213" s="18">
        <f t="shared" si="43"/>
        <v>292831.46057378413</v>
      </c>
      <c r="J213" s="18">
        <f t="shared" si="38"/>
        <v>976.10486857928038</v>
      </c>
      <c r="K213" s="18">
        <f t="shared" si="39"/>
        <v>1410.9716087480174</v>
      </c>
      <c r="L213" s="18">
        <f t="shared" si="40"/>
        <v>291420.48896503611</v>
      </c>
      <c r="M213" s="19">
        <f t="shared" si="41"/>
        <v>2387.0764773272977</v>
      </c>
    </row>
    <row r="214" spans="1:13" x14ac:dyDescent="0.25">
      <c r="A214" s="3">
        <f>IF(B214&lt;&gt;"",204,"")</f>
        <v>204</v>
      </c>
      <c r="B214" s="18">
        <f t="shared" si="42"/>
        <v>218055.55555555818</v>
      </c>
      <c r="C214" s="18">
        <f t="shared" si="33"/>
        <v>726.85185185186072</v>
      </c>
      <c r="D214" s="18">
        <f t="shared" si="34"/>
        <v>1388.8888888888889</v>
      </c>
      <c r="E214" s="18">
        <f t="shared" si="35"/>
        <v>216666.66666666931</v>
      </c>
      <c r="F214" s="19">
        <f t="shared" si="36"/>
        <v>2115.7407407407495</v>
      </c>
      <c r="G214" s="20"/>
      <c r="H214" s="3">
        <f t="shared" si="37"/>
        <v>204</v>
      </c>
      <c r="I214" s="18">
        <f t="shared" si="43"/>
        <v>291420.48896503611</v>
      </c>
      <c r="J214" s="18">
        <f t="shared" si="38"/>
        <v>971.40162988345367</v>
      </c>
      <c r="K214" s="18">
        <f t="shared" si="39"/>
        <v>1415.6748474438441</v>
      </c>
      <c r="L214" s="18">
        <f t="shared" si="40"/>
        <v>290004.81411759229</v>
      </c>
      <c r="M214" s="19">
        <f t="shared" si="41"/>
        <v>2387.0764773272977</v>
      </c>
    </row>
    <row r="215" spans="1:13" x14ac:dyDescent="0.25">
      <c r="A215" s="3">
        <f>IF(B215&lt;&gt;"",205,"")</f>
        <v>205</v>
      </c>
      <c r="B215" s="18">
        <f t="shared" si="42"/>
        <v>216666.66666666931</v>
      </c>
      <c r="C215" s="18">
        <f t="shared" si="33"/>
        <v>722.22222222223093</v>
      </c>
      <c r="D215" s="18">
        <f t="shared" si="34"/>
        <v>1388.8888888888889</v>
      </c>
      <c r="E215" s="18">
        <f t="shared" si="35"/>
        <v>215277.77777778043</v>
      </c>
      <c r="F215" s="19">
        <f t="shared" si="36"/>
        <v>2111.11111111112</v>
      </c>
      <c r="G215" s="20"/>
      <c r="H215" s="3">
        <f t="shared" si="37"/>
        <v>205</v>
      </c>
      <c r="I215" s="18">
        <f t="shared" si="43"/>
        <v>290004.81411759229</v>
      </c>
      <c r="J215" s="18">
        <f t="shared" si="38"/>
        <v>966.68271372530762</v>
      </c>
      <c r="K215" s="18">
        <f t="shared" si="39"/>
        <v>1420.39376360199</v>
      </c>
      <c r="L215" s="18">
        <f t="shared" si="40"/>
        <v>288584.42035399028</v>
      </c>
      <c r="M215" s="19">
        <f t="shared" si="41"/>
        <v>2387.0764773272977</v>
      </c>
    </row>
    <row r="216" spans="1:13" x14ac:dyDescent="0.25">
      <c r="A216" s="3">
        <f>IF(B216&lt;&gt;"",206,"")</f>
        <v>206</v>
      </c>
      <c r="B216" s="18">
        <f t="shared" si="42"/>
        <v>215277.77777778043</v>
      </c>
      <c r="C216" s="18">
        <f t="shared" si="33"/>
        <v>717.59259259260136</v>
      </c>
      <c r="D216" s="18">
        <f t="shared" si="34"/>
        <v>1388.8888888888889</v>
      </c>
      <c r="E216" s="18">
        <f t="shared" si="35"/>
        <v>213888.88888889155</v>
      </c>
      <c r="F216" s="19">
        <f t="shared" si="36"/>
        <v>2106.4814814814904</v>
      </c>
      <c r="G216" s="20"/>
      <c r="H216" s="3">
        <f t="shared" si="37"/>
        <v>206</v>
      </c>
      <c r="I216" s="18">
        <f t="shared" si="43"/>
        <v>288584.42035399028</v>
      </c>
      <c r="J216" s="18">
        <f t="shared" si="38"/>
        <v>961.94806784663433</v>
      </c>
      <c r="K216" s="18">
        <f t="shared" si="39"/>
        <v>1425.1284094806633</v>
      </c>
      <c r="L216" s="18">
        <f t="shared" si="40"/>
        <v>287159.2919445096</v>
      </c>
      <c r="M216" s="19">
        <f t="shared" si="41"/>
        <v>2387.0764773272977</v>
      </c>
    </row>
    <row r="217" spans="1:13" x14ac:dyDescent="0.25">
      <c r="A217" s="3">
        <f>IF(B217&lt;&gt;"",207,"")</f>
        <v>207</v>
      </c>
      <c r="B217" s="18">
        <f t="shared" si="42"/>
        <v>213888.88888889155</v>
      </c>
      <c r="C217" s="18">
        <f t="shared" si="33"/>
        <v>712.9629629629718</v>
      </c>
      <c r="D217" s="18">
        <f t="shared" si="34"/>
        <v>1388.8888888888889</v>
      </c>
      <c r="E217" s="18">
        <f t="shared" si="35"/>
        <v>212500.00000000268</v>
      </c>
      <c r="F217" s="19">
        <f t="shared" si="36"/>
        <v>2101.8518518518608</v>
      </c>
      <c r="G217" s="20"/>
      <c r="H217" s="3">
        <f t="shared" si="37"/>
        <v>207</v>
      </c>
      <c r="I217" s="18">
        <f t="shared" si="43"/>
        <v>287159.2919445096</v>
      </c>
      <c r="J217" s="18">
        <f t="shared" si="38"/>
        <v>957.19763981503195</v>
      </c>
      <c r="K217" s="18">
        <f t="shared" si="39"/>
        <v>1429.8788375122658</v>
      </c>
      <c r="L217" s="18">
        <f t="shared" si="40"/>
        <v>285729.41310699732</v>
      </c>
      <c r="M217" s="19">
        <f t="shared" si="41"/>
        <v>2387.0764773272977</v>
      </c>
    </row>
    <row r="218" spans="1:13" x14ac:dyDescent="0.25">
      <c r="A218" s="3">
        <f>IF(B218&lt;&gt;"",208,"")</f>
        <v>208</v>
      </c>
      <c r="B218" s="18">
        <f t="shared" si="42"/>
        <v>212500.00000000268</v>
      </c>
      <c r="C218" s="18">
        <f t="shared" si="33"/>
        <v>708.33333333334224</v>
      </c>
      <c r="D218" s="18">
        <f t="shared" si="34"/>
        <v>1388.8888888888889</v>
      </c>
      <c r="E218" s="18">
        <f t="shared" si="35"/>
        <v>211111.1111111138</v>
      </c>
      <c r="F218" s="19">
        <f t="shared" si="36"/>
        <v>2097.2222222222313</v>
      </c>
      <c r="G218" s="20"/>
      <c r="H218" s="3">
        <f t="shared" si="37"/>
        <v>208</v>
      </c>
      <c r="I218" s="18">
        <f t="shared" si="43"/>
        <v>285729.41310699732</v>
      </c>
      <c r="J218" s="18">
        <f t="shared" si="38"/>
        <v>952.43137702332444</v>
      </c>
      <c r="K218" s="18">
        <f t="shared" si="39"/>
        <v>1434.6451003039733</v>
      </c>
      <c r="L218" s="18">
        <f t="shared" si="40"/>
        <v>284294.76800669334</v>
      </c>
      <c r="M218" s="19">
        <f t="shared" si="41"/>
        <v>2387.0764773272977</v>
      </c>
    </row>
    <row r="219" spans="1:13" x14ac:dyDescent="0.25">
      <c r="A219" s="3">
        <f>IF(B219&lt;&gt;"",209,"")</f>
        <v>209</v>
      </c>
      <c r="B219" s="18">
        <f t="shared" si="42"/>
        <v>211111.1111111138</v>
      </c>
      <c r="C219" s="18">
        <f t="shared" si="33"/>
        <v>703.70370370371268</v>
      </c>
      <c r="D219" s="18">
        <f t="shared" si="34"/>
        <v>1388.8888888888889</v>
      </c>
      <c r="E219" s="18">
        <f t="shared" si="35"/>
        <v>209722.22222222493</v>
      </c>
      <c r="F219" s="19">
        <f t="shared" si="36"/>
        <v>2092.5925925926017</v>
      </c>
      <c r="G219" s="20"/>
      <c r="H219" s="3">
        <f t="shared" si="37"/>
        <v>209</v>
      </c>
      <c r="I219" s="18">
        <f t="shared" si="43"/>
        <v>284294.76800669334</v>
      </c>
      <c r="J219" s="18">
        <f t="shared" si="38"/>
        <v>947.64922668897782</v>
      </c>
      <c r="K219" s="18">
        <f t="shared" si="39"/>
        <v>1439.4272506383199</v>
      </c>
      <c r="L219" s="18">
        <f t="shared" si="40"/>
        <v>282855.34075605503</v>
      </c>
      <c r="M219" s="19">
        <f t="shared" si="41"/>
        <v>2387.0764773272977</v>
      </c>
    </row>
    <row r="220" spans="1:13" x14ac:dyDescent="0.25">
      <c r="A220" s="3">
        <f>IF(B220&lt;&gt;"",210,"")</f>
        <v>210</v>
      </c>
      <c r="B220" s="18">
        <f t="shared" si="42"/>
        <v>209722.22222222493</v>
      </c>
      <c r="C220" s="18">
        <f t="shared" si="33"/>
        <v>699.07407407408311</v>
      </c>
      <c r="D220" s="18">
        <f t="shared" si="34"/>
        <v>1388.8888888888889</v>
      </c>
      <c r="E220" s="18">
        <f t="shared" si="35"/>
        <v>208333.33333333605</v>
      </c>
      <c r="F220" s="19">
        <f t="shared" si="36"/>
        <v>2087.9629629629721</v>
      </c>
      <c r="G220" s="20"/>
      <c r="H220" s="3">
        <f t="shared" si="37"/>
        <v>210</v>
      </c>
      <c r="I220" s="18">
        <f t="shared" si="43"/>
        <v>282855.34075605503</v>
      </c>
      <c r="J220" s="18">
        <f t="shared" si="38"/>
        <v>942.85113585351667</v>
      </c>
      <c r="K220" s="18">
        <f t="shared" si="39"/>
        <v>1444.2253414737811</v>
      </c>
      <c r="L220" s="18">
        <f t="shared" si="40"/>
        <v>281411.11541458126</v>
      </c>
      <c r="M220" s="19">
        <f t="shared" si="41"/>
        <v>2387.0764773272977</v>
      </c>
    </row>
    <row r="221" spans="1:13" x14ac:dyDescent="0.25">
      <c r="A221" s="3">
        <f>IF(B221&lt;&gt;"",211,"")</f>
        <v>211</v>
      </c>
      <c r="B221" s="18">
        <f t="shared" si="42"/>
        <v>208333.33333333605</v>
      </c>
      <c r="C221" s="18">
        <f t="shared" si="33"/>
        <v>694.44444444445344</v>
      </c>
      <c r="D221" s="18">
        <f t="shared" si="34"/>
        <v>1388.8888888888889</v>
      </c>
      <c r="E221" s="18">
        <f t="shared" si="35"/>
        <v>206944.44444444717</v>
      </c>
      <c r="F221" s="19">
        <f t="shared" si="36"/>
        <v>2083.3333333333421</v>
      </c>
      <c r="G221" s="20"/>
      <c r="H221" s="3">
        <f t="shared" si="37"/>
        <v>211</v>
      </c>
      <c r="I221" s="18">
        <f t="shared" si="43"/>
        <v>281411.11541458126</v>
      </c>
      <c r="J221" s="18">
        <f t="shared" si="38"/>
        <v>938.03705138193754</v>
      </c>
      <c r="K221" s="18">
        <f t="shared" si="39"/>
        <v>1449.0394259453601</v>
      </c>
      <c r="L221" s="18">
        <f t="shared" si="40"/>
        <v>279962.07598863589</v>
      </c>
      <c r="M221" s="19">
        <f t="shared" si="41"/>
        <v>2387.0764773272977</v>
      </c>
    </row>
    <row r="222" spans="1:13" x14ac:dyDescent="0.25">
      <c r="A222" s="3">
        <f>IF(B222&lt;&gt;"",212,"")</f>
        <v>212</v>
      </c>
      <c r="B222" s="18">
        <f t="shared" si="42"/>
        <v>206944.44444444717</v>
      </c>
      <c r="C222" s="18">
        <f t="shared" si="33"/>
        <v>689.81481481482388</v>
      </c>
      <c r="D222" s="18">
        <f t="shared" si="34"/>
        <v>1388.8888888888889</v>
      </c>
      <c r="E222" s="18">
        <f t="shared" si="35"/>
        <v>205555.5555555583</v>
      </c>
      <c r="F222" s="19">
        <f t="shared" si="36"/>
        <v>2078.7037037037126</v>
      </c>
      <c r="G222" s="20"/>
      <c r="H222" s="3">
        <f t="shared" si="37"/>
        <v>212</v>
      </c>
      <c r="I222" s="18">
        <f t="shared" si="43"/>
        <v>279962.07598863589</v>
      </c>
      <c r="J222" s="18">
        <f t="shared" si="38"/>
        <v>933.20691996211963</v>
      </c>
      <c r="K222" s="18">
        <f t="shared" si="39"/>
        <v>1453.869557365178</v>
      </c>
      <c r="L222" s="18">
        <f t="shared" si="40"/>
        <v>278508.20643127069</v>
      </c>
      <c r="M222" s="19">
        <f t="shared" si="41"/>
        <v>2387.0764773272977</v>
      </c>
    </row>
    <row r="223" spans="1:13" x14ac:dyDescent="0.25">
      <c r="A223" s="3">
        <f>IF(B223&lt;&gt;"",213,"")</f>
        <v>213</v>
      </c>
      <c r="B223" s="18">
        <f t="shared" si="42"/>
        <v>205555.5555555583</v>
      </c>
      <c r="C223" s="18">
        <f t="shared" si="33"/>
        <v>685.18518518519431</v>
      </c>
      <c r="D223" s="18">
        <f t="shared" si="34"/>
        <v>1388.8888888888889</v>
      </c>
      <c r="E223" s="18">
        <f t="shared" si="35"/>
        <v>204166.66666666942</v>
      </c>
      <c r="F223" s="19">
        <f t="shared" si="36"/>
        <v>2074.074074074083</v>
      </c>
      <c r="G223" s="20"/>
      <c r="H223" s="3">
        <f t="shared" si="37"/>
        <v>213</v>
      </c>
      <c r="I223" s="18">
        <f t="shared" si="43"/>
        <v>278508.20643127069</v>
      </c>
      <c r="J223" s="18">
        <f t="shared" si="38"/>
        <v>928.36068810423569</v>
      </c>
      <c r="K223" s="18">
        <f t="shared" si="39"/>
        <v>1458.7157892230621</v>
      </c>
      <c r="L223" s="18">
        <f t="shared" si="40"/>
        <v>277049.4906420476</v>
      </c>
      <c r="M223" s="19">
        <f t="shared" si="41"/>
        <v>2387.0764773272977</v>
      </c>
    </row>
    <row r="224" spans="1:13" x14ac:dyDescent="0.25">
      <c r="A224" s="3">
        <f>IF(B224&lt;&gt;"",214,"")</f>
        <v>214</v>
      </c>
      <c r="B224" s="18">
        <f t="shared" si="42"/>
        <v>204166.66666666942</v>
      </c>
      <c r="C224" s="18">
        <f t="shared" si="33"/>
        <v>680.55555555556475</v>
      </c>
      <c r="D224" s="18">
        <f t="shared" si="34"/>
        <v>1388.8888888888889</v>
      </c>
      <c r="E224" s="18">
        <f t="shared" si="35"/>
        <v>202777.77777778055</v>
      </c>
      <c r="F224" s="19">
        <f t="shared" si="36"/>
        <v>2069.4444444444534</v>
      </c>
      <c r="G224" s="20"/>
      <c r="H224" s="3">
        <f t="shared" si="37"/>
        <v>214</v>
      </c>
      <c r="I224" s="18">
        <f t="shared" si="43"/>
        <v>277049.4906420476</v>
      </c>
      <c r="J224" s="18">
        <f t="shared" si="38"/>
        <v>923.49830214015867</v>
      </c>
      <c r="K224" s="18">
        <f t="shared" si="39"/>
        <v>1463.5781751871391</v>
      </c>
      <c r="L224" s="18">
        <f t="shared" si="40"/>
        <v>275585.91246686049</v>
      </c>
      <c r="M224" s="19">
        <f t="shared" si="41"/>
        <v>2387.0764773272977</v>
      </c>
    </row>
    <row r="225" spans="1:13" x14ac:dyDescent="0.25">
      <c r="A225" s="3">
        <f>IF(B225&lt;&gt;"",215,"")</f>
        <v>215</v>
      </c>
      <c r="B225" s="18">
        <f t="shared" si="42"/>
        <v>202777.77777778055</v>
      </c>
      <c r="C225" s="18">
        <f t="shared" si="33"/>
        <v>675.92592592593519</v>
      </c>
      <c r="D225" s="18">
        <f t="shared" si="34"/>
        <v>1388.8888888888889</v>
      </c>
      <c r="E225" s="18">
        <f t="shared" si="35"/>
        <v>201388.88888889167</v>
      </c>
      <c r="F225" s="19">
        <f t="shared" si="36"/>
        <v>2064.8148148148239</v>
      </c>
      <c r="G225" s="20"/>
      <c r="H225" s="3">
        <f t="shared" si="37"/>
        <v>215</v>
      </c>
      <c r="I225" s="18">
        <f t="shared" si="43"/>
        <v>275585.91246686049</v>
      </c>
      <c r="J225" s="18">
        <f t="shared" si="38"/>
        <v>918.61970822286833</v>
      </c>
      <c r="K225" s="18">
        <f t="shared" si="39"/>
        <v>1468.4567691044294</v>
      </c>
      <c r="L225" s="18">
        <f t="shared" si="40"/>
        <v>274117.45569775609</v>
      </c>
      <c r="M225" s="19">
        <f t="shared" si="41"/>
        <v>2387.0764773272977</v>
      </c>
    </row>
    <row r="226" spans="1:13" x14ac:dyDescent="0.25">
      <c r="A226" s="3">
        <f>IF(B226&lt;&gt;"",216,"")</f>
        <v>216</v>
      </c>
      <c r="B226" s="18">
        <f t="shared" si="42"/>
        <v>201388.88888889167</v>
      </c>
      <c r="C226" s="18">
        <f t="shared" si="33"/>
        <v>671.29629629630551</v>
      </c>
      <c r="D226" s="18">
        <f t="shared" si="34"/>
        <v>1388.8888888888889</v>
      </c>
      <c r="E226" s="18">
        <f t="shared" si="35"/>
        <v>200000.00000000279</v>
      </c>
      <c r="F226" s="19">
        <f t="shared" si="36"/>
        <v>2060.1851851851943</v>
      </c>
      <c r="G226" s="20"/>
      <c r="H226" s="3">
        <f t="shared" si="37"/>
        <v>216</v>
      </c>
      <c r="I226" s="18">
        <f t="shared" si="43"/>
        <v>274117.45569775609</v>
      </c>
      <c r="J226" s="18">
        <f t="shared" si="38"/>
        <v>913.72485232585359</v>
      </c>
      <c r="K226" s="18">
        <f t="shared" si="39"/>
        <v>1473.3516250014441</v>
      </c>
      <c r="L226" s="18">
        <f t="shared" si="40"/>
        <v>272644.10407275462</v>
      </c>
      <c r="M226" s="19">
        <f t="shared" si="41"/>
        <v>2387.0764773272977</v>
      </c>
    </row>
    <row r="227" spans="1:13" x14ac:dyDescent="0.25">
      <c r="A227" s="3">
        <f>IF(B227&lt;&gt;"",217,"")</f>
        <v>217</v>
      </c>
      <c r="B227" s="18">
        <f t="shared" si="42"/>
        <v>200000.00000000279</v>
      </c>
      <c r="C227" s="18">
        <f t="shared" si="33"/>
        <v>666.66666666667595</v>
      </c>
      <c r="D227" s="18">
        <f t="shared" si="34"/>
        <v>1388.8888888888889</v>
      </c>
      <c r="E227" s="18">
        <f t="shared" si="35"/>
        <v>198611.11111111392</v>
      </c>
      <c r="F227" s="19">
        <f t="shared" si="36"/>
        <v>2055.5555555555648</v>
      </c>
      <c r="G227" s="20"/>
      <c r="H227" s="3">
        <f t="shared" si="37"/>
        <v>217</v>
      </c>
      <c r="I227" s="18">
        <f t="shared" si="43"/>
        <v>272644.10407275462</v>
      </c>
      <c r="J227" s="18">
        <f t="shared" si="38"/>
        <v>908.81368024251549</v>
      </c>
      <c r="K227" s="18">
        <f t="shared" si="39"/>
        <v>1478.2627970847821</v>
      </c>
      <c r="L227" s="18">
        <f t="shared" si="40"/>
        <v>271165.84127566987</v>
      </c>
      <c r="M227" s="19">
        <f t="shared" si="41"/>
        <v>2387.0764773272977</v>
      </c>
    </row>
    <row r="228" spans="1:13" x14ac:dyDescent="0.25">
      <c r="A228" s="3">
        <f>IF(B228&lt;&gt;"",218,"")</f>
        <v>218</v>
      </c>
      <c r="B228" s="18">
        <f t="shared" si="42"/>
        <v>198611.11111111392</v>
      </c>
      <c r="C228" s="18">
        <f t="shared" si="33"/>
        <v>662.03703703704639</v>
      </c>
      <c r="D228" s="18">
        <f t="shared" si="34"/>
        <v>1388.8888888888889</v>
      </c>
      <c r="E228" s="18">
        <f t="shared" si="35"/>
        <v>197222.22222222504</v>
      </c>
      <c r="F228" s="19">
        <f t="shared" si="36"/>
        <v>2050.9259259259352</v>
      </c>
      <c r="G228" s="20"/>
      <c r="H228" s="3">
        <f t="shared" si="37"/>
        <v>218</v>
      </c>
      <c r="I228" s="18">
        <f t="shared" si="43"/>
        <v>271165.84127566987</v>
      </c>
      <c r="J228" s="18">
        <f t="shared" si="38"/>
        <v>903.8861375855663</v>
      </c>
      <c r="K228" s="18">
        <f t="shared" si="39"/>
        <v>1483.1903397417313</v>
      </c>
      <c r="L228" s="18">
        <f t="shared" si="40"/>
        <v>269682.65093592816</v>
      </c>
      <c r="M228" s="19">
        <f t="shared" si="41"/>
        <v>2387.0764773272977</v>
      </c>
    </row>
    <row r="229" spans="1:13" x14ac:dyDescent="0.25">
      <c r="A229" s="3">
        <f>IF(B229&lt;&gt;"",219,"")</f>
        <v>219</v>
      </c>
      <c r="B229" s="18">
        <f t="shared" si="42"/>
        <v>197222.22222222504</v>
      </c>
      <c r="C229" s="18">
        <f t="shared" si="33"/>
        <v>657.40740740741683</v>
      </c>
      <c r="D229" s="18">
        <f t="shared" si="34"/>
        <v>1388.8888888888889</v>
      </c>
      <c r="E229" s="18">
        <f t="shared" si="35"/>
        <v>195833.33333333617</v>
      </c>
      <c r="F229" s="19">
        <f t="shared" si="36"/>
        <v>2046.2962962963056</v>
      </c>
      <c r="G229" s="20"/>
      <c r="H229" s="3">
        <f t="shared" si="37"/>
        <v>219</v>
      </c>
      <c r="I229" s="18">
        <f t="shared" si="43"/>
        <v>269682.65093592816</v>
      </c>
      <c r="J229" s="18">
        <f t="shared" si="38"/>
        <v>898.94216978642726</v>
      </c>
      <c r="K229" s="18">
        <f t="shared" si="39"/>
        <v>1488.1343075408704</v>
      </c>
      <c r="L229" s="18">
        <f t="shared" si="40"/>
        <v>268194.51662838727</v>
      </c>
      <c r="M229" s="19">
        <f t="shared" si="41"/>
        <v>2387.0764773272977</v>
      </c>
    </row>
    <row r="230" spans="1:13" x14ac:dyDescent="0.25">
      <c r="A230" s="3">
        <f>IF(B230&lt;&gt;"",220,"")</f>
        <v>220</v>
      </c>
      <c r="B230" s="18">
        <f t="shared" si="42"/>
        <v>195833.33333333617</v>
      </c>
      <c r="C230" s="18">
        <f t="shared" si="33"/>
        <v>652.77777777778726</v>
      </c>
      <c r="D230" s="18">
        <f t="shared" si="34"/>
        <v>1388.8888888888889</v>
      </c>
      <c r="E230" s="18">
        <f t="shared" si="35"/>
        <v>194444.44444444729</v>
      </c>
      <c r="F230" s="19">
        <f t="shared" si="36"/>
        <v>2041.6666666666761</v>
      </c>
      <c r="G230" s="20"/>
      <c r="H230" s="3">
        <f t="shared" si="37"/>
        <v>220</v>
      </c>
      <c r="I230" s="18">
        <f t="shared" si="43"/>
        <v>268194.51662838727</v>
      </c>
      <c r="J230" s="18">
        <f t="shared" si="38"/>
        <v>893.98172209462427</v>
      </c>
      <c r="K230" s="18">
        <f t="shared" si="39"/>
        <v>1493.0947552326734</v>
      </c>
      <c r="L230" s="18">
        <f t="shared" si="40"/>
        <v>266701.42187315458</v>
      </c>
      <c r="M230" s="19">
        <f t="shared" si="41"/>
        <v>2387.0764773272977</v>
      </c>
    </row>
    <row r="231" spans="1:13" x14ac:dyDescent="0.25">
      <c r="A231" s="3">
        <f>IF(B231&lt;&gt;"",221,"")</f>
        <v>221</v>
      </c>
      <c r="B231" s="18">
        <f t="shared" si="42"/>
        <v>194444.44444444729</v>
      </c>
      <c r="C231" s="18">
        <f t="shared" si="33"/>
        <v>648.1481481481577</v>
      </c>
      <c r="D231" s="18">
        <f t="shared" si="34"/>
        <v>1388.8888888888889</v>
      </c>
      <c r="E231" s="18">
        <f t="shared" si="35"/>
        <v>193055.55555555841</v>
      </c>
      <c r="F231" s="19">
        <f t="shared" si="36"/>
        <v>2037.0370370370465</v>
      </c>
      <c r="G231" s="20"/>
      <c r="H231" s="3">
        <f t="shared" si="37"/>
        <v>221</v>
      </c>
      <c r="I231" s="18">
        <f t="shared" si="43"/>
        <v>266701.42187315458</v>
      </c>
      <c r="J231" s="18">
        <f t="shared" si="38"/>
        <v>889.00473957718202</v>
      </c>
      <c r="K231" s="18">
        <f t="shared" si="39"/>
        <v>1498.0717377501155</v>
      </c>
      <c r="L231" s="18">
        <f t="shared" si="40"/>
        <v>265203.35013540444</v>
      </c>
      <c r="M231" s="19">
        <f t="shared" si="41"/>
        <v>2387.0764773272977</v>
      </c>
    </row>
    <row r="232" spans="1:13" x14ac:dyDescent="0.25">
      <c r="A232" s="3">
        <f>IF(B232&lt;&gt;"",222,"")</f>
        <v>222</v>
      </c>
      <c r="B232" s="18">
        <f t="shared" si="42"/>
        <v>193055.55555555841</v>
      </c>
      <c r="C232" s="18">
        <f t="shared" si="33"/>
        <v>643.51851851852803</v>
      </c>
      <c r="D232" s="18">
        <f t="shared" si="34"/>
        <v>1388.8888888888889</v>
      </c>
      <c r="E232" s="18">
        <f t="shared" si="35"/>
        <v>191666.66666666954</v>
      </c>
      <c r="F232" s="19">
        <f t="shared" si="36"/>
        <v>2032.4074074074169</v>
      </c>
      <c r="G232" s="20"/>
      <c r="H232" s="3">
        <f t="shared" si="37"/>
        <v>222</v>
      </c>
      <c r="I232" s="18">
        <f t="shared" si="43"/>
        <v>265203.35013540444</v>
      </c>
      <c r="J232" s="18">
        <f t="shared" si="38"/>
        <v>884.01116711801478</v>
      </c>
      <c r="K232" s="18">
        <f t="shared" si="39"/>
        <v>1503.0653102092829</v>
      </c>
      <c r="L232" s="18">
        <f t="shared" si="40"/>
        <v>263700.28482519515</v>
      </c>
      <c r="M232" s="19">
        <f t="shared" si="41"/>
        <v>2387.0764773272977</v>
      </c>
    </row>
    <row r="233" spans="1:13" x14ac:dyDescent="0.25">
      <c r="A233" s="3">
        <f>IF(B233&lt;&gt;"",223,"")</f>
        <v>223</v>
      </c>
      <c r="B233" s="18">
        <f t="shared" si="42"/>
        <v>191666.66666666954</v>
      </c>
      <c r="C233" s="18">
        <f t="shared" si="33"/>
        <v>638.88888888889846</v>
      </c>
      <c r="D233" s="18">
        <f t="shared" si="34"/>
        <v>1388.8888888888889</v>
      </c>
      <c r="E233" s="18">
        <f t="shared" si="35"/>
        <v>190277.77777778066</v>
      </c>
      <c r="F233" s="19">
        <f t="shared" si="36"/>
        <v>2027.7777777777874</v>
      </c>
      <c r="G233" s="20"/>
      <c r="H233" s="3">
        <f t="shared" si="37"/>
        <v>223</v>
      </c>
      <c r="I233" s="18">
        <f t="shared" si="43"/>
        <v>263700.28482519515</v>
      </c>
      <c r="J233" s="18">
        <f t="shared" si="38"/>
        <v>879.0009494173172</v>
      </c>
      <c r="K233" s="18">
        <f t="shared" si="39"/>
        <v>1508.0755279099803</v>
      </c>
      <c r="L233" s="18">
        <f t="shared" si="40"/>
        <v>262192.20929728518</v>
      </c>
      <c r="M233" s="19">
        <f t="shared" si="41"/>
        <v>2387.0764773272977</v>
      </c>
    </row>
    <row r="234" spans="1:13" x14ac:dyDescent="0.25">
      <c r="A234" s="3">
        <f>IF(B234&lt;&gt;"",224,"")</f>
        <v>224</v>
      </c>
      <c r="B234" s="18">
        <f t="shared" si="42"/>
        <v>190277.77777778066</v>
      </c>
      <c r="C234" s="18">
        <f t="shared" si="33"/>
        <v>634.2592592592689</v>
      </c>
      <c r="D234" s="18">
        <f t="shared" si="34"/>
        <v>1388.8888888888889</v>
      </c>
      <c r="E234" s="18">
        <f t="shared" si="35"/>
        <v>188888.88888889179</v>
      </c>
      <c r="F234" s="19">
        <f t="shared" si="36"/>
        <v>2023.1481481481578</v>
      </c>
      <c r="G234" s="20"/>
      <c r="H234" s="3">
        <f t="shared" si="37"/>
        <v>224</v>
      </c>
      <c r="I234" s="18">
        <f t="shared" si="43"/>
        <v>262192.20929728518</v>
      </c>
      <c r="J234" s="18">
        <f t="shared" si="38"/>
        <v>873.97403099095061</v>
      </c>
      <c r="K234" s="18">
        <f t="shared" si="39"/>
        <v>1513.1024463363469</v>
      </c>
      <c r="L234" s="18">
        <f t="shared" si="40"/>
        <v>260679.10685094883</v>
      </c>
      <c r="M234" s="19">
        <f t="shared" si="41"/>
        <v>2387.0764773272977</v>
      </c>
    </row>
    <row r="235" spans="1:13" x14ac:dyDescent="0.25">
      <c r="A235" s="3">
        <f>IF(B235&lt;&gt;"",225,"")</f>
        <v>225</v>
      </c>
      <c r="B235" s="18">
        <f t="shared" si="42"/>
        <v>188888.88888889179</v>
      </c>
      <c r="C235" s="18">
        <f t="shared" si="33"/>
        <v>629.62962962963923</v>
      </c>
      <c r="D235" s="18">
        <f t="shared" si="34"/>
        <v>1388.8888888888889</v>
      </c>
      <c r="E235" s="18">
        <f t="shared" si="35"/>
        <v>187500.00000000291</v>
      </c>
      <c r="F235" s="19">
        <f t="shared" si="36"/>
        <v>2018.5185185185283</v>
      </c>
      <c r="G235" s="20"/>
      <c r="H235" s="3">
        <f t="shared" si="37"/>
        <v>225</v>
      </c>
      <c r="I235" s="18">
        <f t="shared" si="43"/>
        <v>260679.10685094883</v>
      </c>
      <c r="J235" s="18">
        <f t="shared" si="38"/>
        <v>868.93035616982945</v>
      </c>
      <c r="K235" s="18">
        <f t="shared" si="39"/>
        <v>1518.1461211574683</v>
      </c>
      <c r="L235" s="18">
        <f t="shared" si="40"/>
        <v>259160.96072979135</v>
      </c>
      <c r="M235" s="19">
        <f t="shared" si="41"/>
        <v>2387.0764773272977</v>
      </c>
    </row>
    <row r="236" spans="1:13" x14ac:dyDescent="0.25">
      <c r="A236" s="3">
        <f>IF(B236&lt;&gt;"",226,"")</f>
        <v>226</v>
      </c>
      <c r="B236" s="18">
        <f t="shared" si="42"/>
        <v>187500.00000000291</v>
      </c>
      <c r="C236" s="18">
        <f t="shared" si="33"/>
        <v>625.00000000000966</v>
      </c>
      <c r="D236" s="18">
        <f t="shared" si="34"/>
        <v>1388.8888888888889</v>
      </c>
      <c r="E236" s="18">
        <f t="shared" si="35"/>
        <v>186111.11111111403</v>
      </c>
      <c r="F236" s="19">
        <f t="shared" si="36"/>
        <v>2013.8888888888987</v>
      </c>
      <c r="G236" s="20"/>
      <c r="H236" s="3">
        <f t="shared" si="37"/>
        <v>226</v>
      </c>
      <c r="I236" s="18">
        <f t="shared" si="43"/>
        <v>259160.96072979135</v>
      </c>
      <c r="J236" s="18">
        <f t="shared" si="38"/>
        <v>863.86986909930454</v>
      </c>
      <c r="K236" s="18">
        <f t="shared" si="39"/>
        <v>1523.206608227993</v>
      </c>
      <c r="L236" s="18">
        <f t="shared" si="40"/>
        <v>257637.75412156334</v>
      </c>
      <c r="M236" s="19">
        <f t="shared" si="41"/>
        <v>2387.0764773272977</v>
      </c>
    </row>
    <row r="237" spans="1:13" x14ac:dyDescent="0.25">
      <c r="A237" s="3">
        <f>IF(B237&lt;&gt;"",227,"")</f>
        <v>227</v>
      </c>
      <c r="B237" s="18">
        <f t="shared" si="42"/>
        <v>186111.11111111403</v>
      </c>
      <c r="C237" s="18">
        <f t="shared" si="33"/>
        <v>620.3703703703801</v>
      </c>
      <c r="D237" s="18">
        <f t="shared" si="34"/>
        <v>1388.8888888888889</v>
      </c>
      <c r="E237" s="18">
        <f t="shared" si="35"/>
        <v>184722.22222222516</v>
      </c>
      <c r="F237" s="19">
        <f t="shared" si="36"/>
        <v>2009.2592592592691</v>
      </c>
      <c r="G237" s="20"/>
      <c r="H237" s="3">
        <f t="shared" si="37"/>
        <v>227</v>
      </c>
      <c r="I237" s="18">
        <f t="shared" si="43"/>
        <v>257637.75412156334</v>
      </c>
      <c r="J237" s="18">
        <f t="shared" si="38"/>
        <v>858.79251373854447</v>
      </c>
      <c r="K237" s="18">
        <f t="shared" si="39"/>
        <v>1528.2839635887531</v>
      </c>
      <c r="L237" s="18">
        <f t="shared" si="40"/>
        <v>256109.47015797457</v>
      </c>
      <c r="M237" s="19">
        <f t="shared" si="41"/>
        <v>2387.0764773272977</v>
      </c>
    </row>
    <row r="238" spans="1:13" x14ac:dyDescent="0.25">
      <c r="A238" s="3">
        <f>IF(B238&lt;&gt;"",228,"")</f>
        <v>228</v>
      </c>
      <c r="B238" s="18">
        <f t="shared" si="42"/>
        <v>184722.22222222516</v>
      </c>
      <c r="C238" s="18">
        <f t="shared" si="33"/>
        <v>615.74074074075054</v>
      </c>
      <c r="D238" s="18">
        <f t="shared" si="34"/>
        <v>1388.8888888888889</v>
      </c>
      <c r="E238" s="18">
        <f t="shared" si="35"/>
        <v>183333.33333333628</v>
      </c>
      <c r="F238" s="19">
        <f t="shared" si="36"/>
        <v>2004.6296296296396</v>
      </c>
      <c r="G238" s="20"/>
      <c r="H238" s="3">
        <f t="shared" si="37"/>
        <v>228</v>
      </c>
      <c r="I238" s="18">
        <f t="shared" si="43"/>
        <v>256109.47015797457</v>
      </c>
      <c r="J238" s="18">
        <f t="shared" si="38"/>
        <v>853.69823385991538</v>
      </c>
      <c r="K238" s="18">
        <f t="shared" si="39"/>
        <v>1533.3782434673822</v>
      </c>
      <c r="L238" s="18">
        <f t="shared" si="40"/>
        <v>254576.09191450718</v>
      </c>
      <c r="M238" s="19">
        <f t="shared" si="41"/>
        <v>2387.0764773272977</v>
      </c>
    </row>
    <row r="239" spans="1:13" x14ac:dyDescent="0.25">
      <c r="A239" s="3">
        <f>IF(B239&lt;&gt;"",229,"")</f>
        <v>229</v>
      </c>
      <c r="B239" s="18">
        <f t="shared" si="42"/>
        <v>183333.33333333628</v>
      </c>
      <c r="C239" s="18">
        <f t="shared" si="33"/>
        <v>611.11111111112098</v>
      </c>
      <c r="D239" s="18">
        <f t="shared" si="34"/>
        <v>1388.8888888888889</v>
      </c>
      <c r="E239" s="18">
        <f t="shared" si="35"/>
        <v>181944.44444444741</v>
      </c>
      <c r="F239" s="19">
        <f t="shared" si="36"/>
        <v>2000.00000000001</v>
      </c>
      <c r="G239" s="20"/>
      <c r="H239" s="3">
        <f t="shared" si="37"/>
        <v>229</v>
      </c>
      <c r="I239" s="18">
        <f t="shared" si="43"/>
        <v>254576.09191450718</v>
      </c>
      <c r="J239" s="18">
        <f t="shared" si="38"/>
        <v>848.58697304835732</v>
      </c>
      <c r="K239" s="18">
        <f t="shared" si="39"/>
        <v>1538.4895042789403</v>
      </c>
      <c r="L239" s="18">
        <f t="shared" si="40"/>
        <v>253037.60241022825</v>
      </c>
      <c r="M239" s="19">
        <f t="shared" si="41"/>
        <v>2387.0764773272977</v>
      </c>
    </row>
    <row r="240" spans="1:13" x14ac:dyDescent="0.25">
      <c r="A240" s="3">
        <f>IF(B240&lt;&gt;"",230,"")</f>
        <v>230</v>
      </c>
      <c r="B240" s="18">
        <f t="shared" si="42"/>
        <v>181944.44444444741</v>
      </c>
      <c r="C240" s="18">
        <f t="shared" si="33"/>
        <v>606.48148148149141</v>
      </c>
      <c r="D240" s="18">
        <f t="shared" si="34"/>
        <v>1388.8888888888889</v>
      </c>
      <c r="E240" s="18">
        <f t="shared" si="35"/>
        <v>180555.55555555853</v>
      </c>
      <c r="F240" s="19">
        <f t="shared" si="36"/>
        <v>1995.3703703703804</v>
      </c>
      <c r="G240" s="20"/>
      <c r="H240" s="3">
        <f t="shared" si="37"/>
        <v>230</v>
      </c>
      <c r="I240" s="18">
        <f t="shared" si="43"/>
        <v>253037.60241022825</v>
      </c>
      <c r="J240" s="18">
        <f t="shared" si="38"/>
        <v>843.45867470076075</v>
      </c>
      <c r="K240" s="18">
        <f t="shared" si="39"/>
        <v>1543.617802626537</v>
      </c>
      <c r="L240" s="18">
        <f t="shared" si="40"/>
        <v>251493.98460760171</v>
      </c>
      <c r="M240" s="19">
        <f t="shared" si="41"/>
        <v>2387.0764773272977</v>
      </c>
    </row>
    <row r="241" spans="1:13" x14ac:dyDescent="0.25">
      <c r="A241" s="3">
        <f>IF(B241&lt;&gt;"",231,"")</f>
        <v>231</v>
      </c>
      <c r="B241" s="18">
        <f t="shared" si="42"/>
        <v>180555.55555555853</v>
      </c>
      <c r="C241" s="18">
        <f t="shared" si="33"/>
        <v>601.85185185186185</v>
      </c>
      <c r="D241" s="18">
        <f t="shared" si="34"/>
        <v>1388.8888888888889</v>
      </c>
      <c r="E241" s="18">
        <f t="shared" si="35"/>
        <v>179166.66666666965</v>
      </c>
      <c r="F241" s="19">
        <f t="shared" si="36"/>
        <v>1990.7407407407509</v>
      </c>
      <c r="G241" s="20"/>
      <c r="H241" s="3">
        <f t="shared" si="37"/>
        <v>231</v>
      </c>
      <c r="I241" s="18">
        <f t="shared" si="43"/>
        <v>251493.98460760171</v>
      </c>
      <c r="J241" s="18">
        <f t="shared" si="38"/>
        <v>838.31328202533905</v>
      </c>
      <c r="K241" s="18">
        <f t="shared" si="39"/>
        <v>1548.7631953019586</v>
      </c>
      <c r="L241" s="18">
        <f t="shared" si="40"/>
        <v>249945.22141229975</v>
      </c>
      <c r="M241" s="19">
        <f t="shared" si="41"/>
        <v>2387.0764773272977</v>
      </c>
    </row>
    <row r="242" spans="1:13" x14ac:dyDescent="0.25">
      <c r="A242" s="3">
        <f>IF(B242&lt;&gt;"",232,"")</f>
        <v>232</v>
      </c>
      <c r="B242" s="18">
        <f t="shared" si="42"/>
        <v>179166.66666666965</v>
      </c>
      <c r="C242" s="18">
        <f t="shared" si="33"/>
        <v>597.22222222223218</v>
      </c>
      <c r="D242" s="18">
        <f t="shared" si="34"/>
        <v>1388.8888888888889</v>
      </c>
      <c r="E242" s="18">
        <f t="shared" si="35"/>
        <v>177777.77777778078</v>
      </c>
      <c r="F242" s="19">
        <f t="shared" si="36"/>
        <v>1986.1111111111211</v>
      </c>
      <c r="G242" s="20"/>
      <c r="H242" s="3">
        <f t="shared" si="37"/>
        <v>232</v>
      </c>
      <c r="I242" s="18">
        <f t="shared" si="43"/>
        <v>249945.22141229975</v>
      </c>
      <c r="J242" s="18">
        <f t="shared" si="38"/>
        <v>833.15073804099927</v>
      </c>
      <c r="K242" s="18">
        <f t="shared" si="39"/>
        <v>1553.9257392862983</v>
      </c>
      <c r="L242" s="18">
        <f t="shared" si="40"/>
        <v>248391.29567301346</v>
      </c>
      <c r="M242" s="19">
        <f t="shared" si="41"/>
        <v>2387.0764773272977</v>
      </c>
    </row>
    <row r="243" spans="1:13" x14ac:dyDescent="0.25">
      <c r="A243" s="3">
        <f>IF(B243&lt;&gt;"",233,"")</f>
        <v>233</v>
      </c>
      <c r="B243" s="18">
        <f t="shared" si="42"/>
        <v>177777.77777778078</v>
      </c>
      <c r="C243" s="18">
        <f t="shared" si="33"/>
        <v>592.59259259260261</v>
      </c>
      <c r="D243" s="18">
        <f t="shared" si="34"/>
        <v>1388.8888888888889</v>
      </c>
      <c r="E243" s="18">
        <f t="shared" si="35"/>
        <v>176388.8888888919</v>
      </c>
      <c r="F243" s="19">
        <f t="shared" si="36"/>
        <v>1981.4814814814915</v>
      </c>
      <c r="G243" s="20"/>
      <c r="H243" s="3">
        <f t="shared" si="37"/>
        <v>233</v>
      </c>
      <c r="I243" s="18">
        <f t="shared" si="43"/>
        <v>248391.29567301346</v>
      </c>
      <c r="J243" s="18">
        <f t="shared" si="38"/>
        <v>827.97098557671154</v>
      </c>
      <c r="K243" s="18">
        <f t="shared" si="39"/>
        <v>1559.1054917505862</v>
      </c>
      <c r="L243" s="18">
        <f t="shared" si="40"/>
        <v>246832.19018126288</v>
      </c>
      <c r="M243" s="19">
        <f t="shared" si="41"/>
        <v>2387.0764773272977</v>
      </c>
    </row>
    <row r="244" spans="1:13" x14ac:dyDescent="0.25">
      <c r="A244" s="3">
        <f>IF(B244&lt;&gt;"",234,"")</f>
        <v>234</v>
      </c>
      <c r="B244" s="18">
        <f t="shared" si="42"/>
        <v>176388.8888888919</v>
      </c>
      <c r="C244" s="18">
        <f t="shared" si="33"/>
        <v>587.96296296297305</v>
      </c>
      <c r="D244" s="18">
        <f t="shared" si="34"/>
        <v>1388.8888888888889</v>
      </c>
      <c r="E244" s="18">
        <f t="shared" si="35"/>
        <v>175000.00000000303</v>
      </c>
      <c r="F244" s="19">
        <f t="shared" si="36"/>
        <v>1976.851851851862</v>
      </c>
      <c r="G244" s="20"/>
      <c r="H244" s="3">
        <f t="shared" si="37"/>
        <v>234</v>
      </c>
      <c r="I244" s="18">
        <f t="shared" si="43"/>
        <v>246832.19018126288</v>
      </c>
      <c r="J244" s="18">
        <f t="shared" si="38"/>
        <v>822.77396727087626</v>
      </c>
      <c r="K244" s="18">
        <f t="shared" si="39"/>
        <v>1564.3025100564214</v>
      </c>
      <c r="L244" s="18">
        <f t="shared" si="40"/>
        <v>245267.88767120647</v>
      </c>
      <c r="M244" s="19">
        <f t="shared" si="41"/>
        <v>2387.0764773272977</v>
      </c>
    </row>
    <row r="245" spans="1:13" x14ac:dyDescent="0.25">
      <c r="A245" s="3">
        <f>IF(B245&lt;&gt;"",235,"")</f>
        <v>235</v>
      </c>
      <c r="B245" s="18">
        <f t="shared" si="42"/>
        <v>175000.00000000303</v>
      </c>
      <c r="C245" s="18">
        <f t="shared" si="33"/>
        <v>583.33333333334338</v>
      </c>
      <c r="D245" s="18">
        <f t="shared" si="34"/>
        <v>1388.8888888888889</v>
      </c>
      <c r="E245" s="18">
        <f t="shared" si="35"/>
        <v>173611.11111111415</v>
      </c>
      <c r="F245" s="19">
        <f t="shared" si="36"/>
        <v>1972.2222222222322</v>
      </c>
      <c r="G245" s="20"/>
      <c r="H245" s="3">
        <f t="shared" si="37"/>
        <v>235</v>
      </c>
      <c r="I245" s="18">
        <f t="shared" si="43"/>
        <v>245267.88767120647</v>
      </c>
      <c r="J245" s="18">
        <f t="shared" si="38"/>
        <v>817.55962557068824</v>
      </c>
      <c r="K245" s="18">
        <f t="shared" si="39"/>
        <v>1569.5168517566094</v>
      </c>
      <c r="L245" s="18">
        <f t="shared" si="40"/>
        <v>243698.37081944986</v>
      </c>
      <c r="M245" s="19">
        <f t="shared" si="41"/>
        <v>2387.0764773272977</v>
      </c>
    </row>
    <row r="246" spans="1:13" x14ac:dyDescent="0.25">
      <c r="A246" s="3">
        <f>IF(B246&lt;&gt;"",236,"")</f>
        <v>236</v>
      </c>
      <c r="B246" s="18">
        <f t="shared" si="42"/>
        <v>173611.11111111415</v>
      </c>
      <c r="C246" s="18">
        <f t="shared" si="33"/>
        <v>578.70370370371381</v>
      </c>
      <c r="D246" s="18">
        <f t="shared" si="34"/>
        <v>1388.8888888888889</v>
      </c>
      <c r="E246" s="18">
        <f t="shared" si="35"/>
        <v>172222.22222222527</v>
      </c>
      <c r="F246" s="19">
        <f t="shared" si="36"/>
        <v>1967.5925925926026</v>
      </c>
      <c r="G246" s="20"/>
      <c r="H246" s="3">
        <f t="shared" si="37"/>
        <v>236</v>
      </c>
      <c r="I246" s="18">
        <f t="shared" si="43"/>
        <v>243698.37081944986</v>
      </c>
      <c r="J246" s="18">
        <f t="shared" si="38"/>
        <v>812.32790273149965</v>
      </c>
      <c r="K246" s="18">
        <f t="shared" si="39"/>
        <v>1574.7485745957979</v>
      </c>
      <c r="L246" s="18">
        <f t="shared" si="40"/>
        <v>242123.62224485405</v>
      </c>
      <c r="M246" s="19">
        <f t="shared" si="41"/>
        <v>2387.0764773272977</v>
      </c>
    </row>
    <row r="247" spans="1:13" x14ac:dyDescent="0.25">
      <c r="A247" s="3">
        <f>IF(B247&lt;&gt;"",237,"")</f>
        <v>237</v>
      </c>
      <c r="B247" s="18">
        <f t="shared" si="42"/>
        <v>172222.22222222527</v>
      </c>
      <c r="C247" s="18">
        <f t="shared" si="33"/>
        <v>574.07407407408425</v>
      </c>
      <c r="D247" s="18">
        <f t="shared" si="34"/>
        <v>1388.8888888888889</v>
      </c>
      <c r="E247" s="18">
        <f t="shared" si="35"/>
        <v>170833.3333333364</v>
      </c>
      <c r="F247" s="19">
        <f t="shared" si="36"/>
        <v>1962.9629629629731</v>
      </c>
      <c r="G247" s="20"/>
      <c r="H247" s="3">
        <f t="shared" si="37"/>
        <v>237</v>
      </c>
      <c r="I247" s="18">
        <f t="shared" si="43"/>
        <v>242123.62224485405</v>
      </c>
      <c r="J247" s="18">
        <f t="shared" si="38"/>
        <v>807.07874081618013</v>
      </c>
      <c r="K247" s="18">
        <f t="shared" si="39"/>
        <v>1579.9977365111176</v>
      </c>
      <c r="L247" s="18">
        <f t="shared" si="40"/>
        <v>240543.62450834294</v>
      </c>
      <c r="M247" s="19">
        <f t="shared" si="41"/>
        <v>2387.0764773272977</v>
      </c>
    </row>
    <row r="248" spans="1:13" x14ac:dyDescent="0.25">
      <c r="A248" s="3">
        <f>IF(B248&lt;&gt;"",238,"")</f>
        <v>238</v>
      </c>
      <c r="B248" s="18">
        <f t="shared" si="42"/>
        <v>170833.3333333364</v>
      </c>
      <c r="C248" s="18">
        <f t="shared" si="33"/>
        <v>569.44444444445469</v>
      </c>
      <c r="D248" s="18">
        <f t="shared" si="34"/>
        <v>1388.8888888888889</v>
      </c>
      <c r="E248" s="18">
        <f t="shared" si="35"/>
        <v>169444.44444444752</v>
      </c>
      <c r="F248" s="19">
        <f t="shared" si="36"/>
        <v>1958.3333333333435</v>
      </c>
      <c r="G248" s="20"/>
      <c r="H248" s="3">
        <f t="shared" si="37"/>
        <v>238</v>
      </c>
      <c r="I248" s="18">
        <f t="shared" si="43"/>
        <v>240543.62450834294</v>
      </c>
      <c r="J248" s="18">
        <f t="shared" si="38"/>
        <v>801.81208169447655</v>
      </c>
      <c r="K248" s="18">
        <f t="shared" si="39"/>
        <v>1585.2643956328211</v>
      </c>
      <c r="L248" s="18">
        <f t="shared" si="40"/>
        <v>238958.36011271013</v>
      </c>
      <c r="M248" s="19">
        <f t="shared" si="41"/>
        <v>2387.0764773272977</v>
      </c>
    </row>
    <row r="249" spans="1:13" x14ac:dyDescent="0.25">
      <c r="A249" s="3">
        <f>IF(B249&lt;&gt;"",239,"")</f>
        <v>239</v>
      </c>
      <c r="B249" s="18">
        <f t="shared" si="42"/>
        <v>169444.44444444752</v>
      </c>
      <c r="C249" s="18">
        <f t="shared" si="33"/>
        <v>564.81481481482513</v>
      </c>
      <c r="D249" s="18">
        <f t="shared" si="34"/>
        <v>1388.8888888888889</v>
      </c>
      <c r="E249" s="18">
        <f t="shared" si="35"/>
        <v>168055.55555555865</v>
      </c>
      <c r="F249" s="19">
        <f t="shared" si="36"/>
        <v>1953.7037037037139</v>
      </c>
      <c r="G249" s="20"/>
      <c r="H249" s="3">
        <f t="shared" si="37"/>
        <v>239</v>
      </c>
      <c r="I249" s="18">
        <f t="shared" si="43"/>
        <v>238958.36011271013</v>
      </c>
      <c r="J249" s="18">
        <f t="shared" si="38"/>
        <v>796.52786704236712</v>
      </c>
      <c r="K249" s="18">
        <f t="shared" si="39"/>
        <v>1590.5486102849304</v>
      </c>
      <c r="L249" s="18">
        <f t="shared" si="40"/>
        <v>237367.8115024252</v>
      </c>
      <c r="M249" s="19">
        <f t="shared" si="41"/>
        <v>2387.0764773272977</v>
      </c>
    </row>
    <row r="250" spans="1:13" x14ac:dyDescent="0.25">
      <c r="A250" s="3">
        <f>IF(B250&lt;&gt;"",240,"")</f>
        <v>240</v>
      </c>
      <c r="B250" s="18">
        <f t="shared" si="42"/>
        <v>168055.55555555865</v>
      </c>
      <c r="C250" s="18">
        <f t="shared" si="33"/>
        <v>560.18518518519556</v>
      </c>
      <c r="D250" s="18">
        <f t="shared" si="34"/>
        <v>1388.8888888888889</v>
      </c>
      <c r="E250" s="18">
        <f t="shared" si="35"/>
        <v>166666.66666666977</v>
      </c>
      <c r="F250" s="19">
        <f t="shared" si="36"/>
        <v>1949.0740740740844</v>
      </c>
      <c r="G250" s="20"/>
      <c r="H250" s="3">
        <f t="shared" si="37"/>
        <v>240</v>
      </c>
      <c r="I250" s="18">
        <f t="shared" si="43"/>
        <v>237367.8115024252</v>
      </c>
      <c r="J250" s="18">
        <f t="shared" si="38"/>
        <v>791.22603834141739</v>
      </c>
      <c r="K250" s="18">
        <f t="shared" si="39"/>
        <v>1595.8504389858804</v>
      </c>
      <c r="L250" s="18">
        <f t="shared" si="40"/>
        <v>235771.96106343932</v>
      </c>
      <c r="M250" s="19">
        <f t="shared" si="41"/>
        <v>2387.0764773272977</v>
      </c>
    </row>
    <row r="251" spans="1:13" x14ac:dyDescent="0.25">
      <c r="A251" s="3">
        <f>IF(B251&lt;&gt;"",241,"")</f>
        <v>241</v>
      </c>
      <c r="B251" s="18">
        <f t="shared" si="42"/>
        <v>166666.66666666977</v>
      </c>
      <c r="C251" s="18">
        <f t="shared" si="33"/>
        <v>555.55555555556589</v>
      </c>
      <c r="D251" s="18">
        <f t="shared" si="34"/>
        <v>1388.8888888888889</v>
      </c>
      <c r="E251" s="18">
        <f t="shared" si="35"/>
        <v>165277.7777777809</v>
      </c>
      <c r="F251" s="19">
        <f t="shared" si="36"/>
        <v>1944.4444444444548</v>
      </c>
      <c r="G251" s="20"/>
      <c r="H251" s="3">
        <f t="shared" si="37"/>
        <v>241</v>
      </c>
      <c r="I251" s="18">
        <f t="shared" si="43"/>
        <v>235771.96106343932</v>
      </c>
      <c r="J251" s="18">
        <f t="shared" si="38"/>
        <v>785.90653687813108</v>
      </c>
      <c r="K251" s="18">
        <f t="shared" si="39"/>
        <v>1601.1699404491665</v>
      </c>
      <c r="L251" s="18">
        <f t="shared" si="40"/>
        <v>234170.79112299014</v>
      </c>
      <c r="M251" s="19">
        <f t="shared" si="41"/>
        <v>2387.0764773272977</v>
      </c>
    </row>
    <row r="252" spans="1:13" x14ac:dyDescent="0.25">
      <c r="A252" s="3">
        <f>IF(B252&lt;&gt;"",242,"")</f>
        <v>242</v>
      </c>
      <c r="B252" s="18">
        <f t="shared" si="42"/>
        <v>165277.7777777809</v>
      </c>
      <c r="C252" s="18">
        <f t="shared" si="33"/>
        <v>550.92592592593633</v>
      </c>
      <c r="D252" s="18">
        <f t="shared" si="34"/>
        <v>1388.8888888888889</v>
      </c>
      <c r="E252" s="18">
        <f t="shared" si="35"/>
        <v>163888.88888889202</v>
      </c>
      <c r="F252" s="19">
        <f t="shared" si="36"/>
        <v>1939.8148148148252</v>
      </c>
      <c r="G252" s="20"/>
      <c r="H252" s="3">
        <f t="shared" si="37"/>
        <v>242</v>
      </c>
      <c r="I252" s="18">
        <f t="shared" si="43"/>
        <v>234170.79112299014</v>
      </c>
      <c r="J252" s="18">
        <f t="shared" si="38"/>
        <v>780.56930374330057</v>
      </c>
      <c r="K252" s="18">
        <f t="shared" si="39"/>
        <v>1606.507173583997</v>
      </c>
      <c r="L252" s="18">
        <f t="shared" si="40"/>
        <v>232564.28394940615</v>
      </c>
      <c r="M252" s="19">
        <f t="shared" si="41"/>
        <v>2387.0764773272977</v>
      </c>
    </row>
    <row r="253" spans="1:13" x14ac:dyDescent="0.25">
      <c r="A253" s="3">
        <f>IF(B253&lt;&gt;"",243,"")</f>
        <v>243</v>
      </c>
      <c r="B253" s="18">
        <f t="shared" si="42"/>
        <v>163888.88888889202</v>
      </c>
      <c r="C253" s="18">
        <f t="shared" si="33"/>
        <v>546.29629629630676</v>
      </c>
      <c r="D253" s="18">
        <f t="shared" si="34"/>
        <v>1388.8888888888889</v>
      </c>
      <c r="E253" s="18">
        <f t="shared" si="35"/>
        <v>162500.00000000314</v>
      </c>
      <c r="F253" s="19">
        <f t="shared" si="36"/>
        <v>1935.1851851851957</v>
      </c>
      <c r="G253" s="20"/>
      <c r="H253" s="3">
        <f t="shared" si="37"/>
        <v>243</v>
      </c>
      <c r="I253" s="18">
        <f t="shared" si="43"/>
        <v>232564.28394940615</v>
      </c>
      <c r="J253" s="18">
        <f t="shared" si="38"/>
        <v>775.21427983135391</v>
      </c>
      <c r="K253" s="18">
        <f t="shared" si="39"/>
        <v>1611.8621974959437</v>
      </c>
      <c r="L253" s="18">
        <f t="shared" si="40"/>
        <v>230952.42175191021</v>
      </c>
      <c r="M253" s="19">
        <f t="shared" si="41"/>
        <v>2387.0764773272977</v>
      </c>
    </row>
    <row r="254" spans="1:13" x14ac:dyDescent="0.25">
      <c r="A254" s="3">
        <f>IF(B254&lt;&gt;"",244,"")</f>
        <v>244</v>
      </c>
      <c r="B254" s="18">
        <f t="shared" si="42"/>
        <v>162500.00000000314</v>
      </c>
      <c r="C254" s="18">
        <f t="shared" si="33"/>
        <v>541.66666666667709</v>
      </c>
      <c r="D254" s="18">
        <f t="shared" si="34"/>
        <v>1388.8888888888889</v>
      </c>
      <c r="E254" s="18">
        <f t="shared" si="35"/>
        <v>161111.11111111427</v>
      </c>
      <c r="F254" s="19">
        <f t="shared" si="36"/>
        <v>1930.5555555555661</v>
      </c>
      <c r="G254" s="20"/>
      <c r="H254" s="3">
        <f t="shared" si="37"/>
        <v>244</v>
      </c>
      <c r="I254" s="18">
        <f t="shared" si="43"/>
        <v>230952.42175191021</v>
      </c>
      <c r="J254" s="18">
        <f t="shared" si="38"/>
        <v>769.84140583970066</v>
      </c>
      <c r="K254" s="18">
        <f t="shared" si="39"/>
        <v>1617.235071487597</v>
      </c>
      <c r="L254" s="18">
        <f t="shared" si="40"/>
        <v>229335.1866804226</v>
      </c>
      <c r="M254" s="19">
        <f t="shared" si="41"/>
        <v>2387.0764773272977</v>
      </c>
    </row>
    <row r="255" spans="1:13" x14ac:dyDescent="0.25">
      <c r="A255" s="3">
        <f>IF(B255&lt;&gt;"",245,"")</f>
        <v>245</v>
      </c>
      <c r="B255" s="18">
        <f t="shared" si="42"/>
        <v>161111.11111111427</v>
      </c>
      <c r="C255" s="18">
        <f t="shared" si="33"/>
        <v>537.03703703704753</v>
      </c>
      <c r="D255" s="18">
        <f t="shared" si="34"/>
        <v>1388.8888888888889</v>
      </c>
      <c r="E255" s="18">
        <f t="shared" si="35"/>
        <v>159722.22222222539</v>
      </c>
      <c r="F255" s="19">
        <f t="shared" si="36"/>
        <v>1925.9259259259366</v>
      </c>
      <c r="G255" s="20"/>
      <c r="H255" s="3">
        <f t="shared" si="37"/>
        <v>245</v>
      </c>
      <c r="I255" s="18">
        <f t="shared" si="43"/>
        <v>229335.1866804226</v>
      </c>
      <c r="J255" s="18">
        <f t="shared" si="38"/>
        <v>764.45062226807534</v>
      </c>
      <c r="K255" s="18">
        <f t="shared" si="39"/>
        <v>1622.6258550592224</v>
      </c>
      <c r="L255" s="18">
        <f t="shared" si="40"/>
        <v>227712.56082536338</v>
      </c>
      <c r="M255" s="19">
        <f t="shared" si="41"/>
        <v>2387.0764773272977</v>
      </c>
    </row>
    <row r="256" spans="1:13" x14ac:dyDescent="0.25">
      <c r="A256" s="3">
        <f>IF(B256&lt;&gt;"",246,"")</f>
        <v>246</v>
      </c>
      <c r="B256" s="18">
        <f t="shared" si="42"/>
        <v>159722.22222222539</v>
      </c>
      <c r="C256" s="18">
        <f t="shared" si="33"/>
        <v>532.40740740741796</v>
      </c>
      <c r="D256" s="18">
        <f t="shared" si="34"/>
        <v>1388.8888888888889</v>
      </c>
      <c r="E256" s="18">
        <f t="shared" si="35"/>
        <v>158333.33333333652</v>
      </c>
      <c r="F256" s="19">
        <f t="shared" si="36"/>
        <v>1921.296296296307</v>
      </c>
      <c r="G256" s="20"/>
      <c r="H256" s="3">
        <f t="shared" si="37"/>
        <v>246</v>
      </c>
      <c r="I256" s="18">
        <f t="shared" si="43"/>
        <v>227712.56082536338</v>
      </c>
      <c r="J256" s="18">
        <f t="shared" si="38"/>
        <v>759.04186941787793</v>
      </c>
      <c r="K256" s="18">
        <f t="shared" si="39"/>
        <v>1628.0346079094197</v>
      </c>
      <c r="L256" s="18">
        <f t="shared" si="40"/>
        <v>226084.52621745397</v>
      </c>
      <c r="M256" s="19">
        <f t="shared" si="41"/>
        <v>2387.0764773272977</v>
      </c>
    </row>
    <row r="257" spans="1:13" x14ac:dyDescent="0.25">
      <c r="A257" s="3">
        <f>IF(B257&lt;&gt;"",247,"")</f>
        <v>247</v>
      </c>
      <c r="B257" s="18">
        <f t="shared" si="42"/>
        <v>158333.33333333652</v>
      </c>
      <c r="C257" s="18">
        <f t="shared" si="33"/>
        <v>527.7777777777884</v>
      </c>
      <c r="D257" s="18">
        <f t="shared" si="34"/>
        <v>1388.8888888888889</v>
      </c>
      <c r="E257" s="18">
        <f t="shared" si="35"/>
        <v>156944.44444444764</v>
      </c>
      <c r="F257" s="19">
        <f t="shared" si="36"/>
        <v>1916.6666666666774</v>
      </c>
      <c r="G257" s="20"/>
      <c r="H257" s="3">
        <f t="shared" si="37"/>
        <v>247</v>
      </c>
      <c r="I257" s="18">
        <f t="shared" si="43"/>
        <v>226084.52621745397</v>
      </c>
      <c r="J257" s="18">
        <f t="shared" si="38"/>
        <v>753.61508739151316</v>
      </c>
      <c r="K257" s="18">
        <f t="shared" si="39"/>
        <v>1633.4613899357846</v>
      </c>
      <c r="L257" s="18">
        <f t="shared" si="40"/>
        <v>224451.06482751819</v>
      </c>
      <c r="M257" s="19">
        <f t="shared" si="41"/>
        <v>2387.0764773272977</v>
      </c>
    </row>
    <row r="258" spans="1:13" x14ac:dyDescent="0.25">
      <c r="A258" s="3">
        <f>IF(B258&lt;&gt;"",248,"")</f>
        <v>248</v>
      </c>
      <c r="B258" s="18">
        <f t="shared" si="42"/>
        <v>156944.44444444764</v>
      </c>
      <c r="C258" s="18">
        <f t="shared" si="33"/>
        <v>523.14814814815884</v>
      </c>
      <c r="D258" s="18">
        <f t="shared" si="34"/>
        <v>1388.8888888888889</v>
      </c>
      <c r="E258" s="18">
        <f t="shared" si="35"/>
        <v>155555.55555555876</v>
      </c>
      <c r="F258" s="19">
        <f t="shared" si="36"/>
        <v>1912.0370370370479</v>
      </c>
      <c r="G258" s="20"/>
      <c r="H258" s="3">
        <f t="shared" si="37"/>
        <v>248</v>
      </c>
      <c r="I258" s="18">
        <f t="shared" si="43"/>
        <v>224451.06482751819</v>
      </c>
      <c r="J258" s="18">
        <f t="shared" si="38"/>
        <v>748.17021609172741</v>
      </c>
      <c r="K258" s="18">
        <f t="shared" si="39"/>
        <v>1638.9062612355701</v>
      </c>
      <c r="L258" s="18">
        <f t="shared" si="40"/>
        <v>222812.15856628263</v>
      </c>
      <c r="M258" s="19">
        <f t="shared" si="41"/>
        <v>2387.0764773272977</v>
      </c>
    </row>
    <row r="259" spans="1:13" x14ac:dyDescent="0.25">
      <c r="A259" s="3">
        <f>IF(B259&lt;&gt;"",249,"")</f>
        <v>249</v>
      </c>
      <c r="B259" s="18">
        <f t="shared" si="42"/>
        <v>155555.55555555876</v>
      </c>
      <c r="C259" s="18">
        <f t="shared" si="33"/>
        <v>518.51851851852928</v>
      </c>
      <c r="D259" s="18">
        <f t="shared" si="34"/>
        <v>1388.8888888888889</v>
      </c>
      <c r="E259" s="18">
        <f t="shared" si="35"/>
        <v>154166.66666666989</v>
      </c>
      <c r="F259" s="19">
        <f t="shared" si="36"/>
        <v>1907.4074074074183</v>
      </c>
      <c r="G259" s="20"/>
      <c r="H259" s="3">
        <f t="shared" si="37"/>
        <v>249</v>
      </c>
      <c r="I259" s="18">
        <f t="shared" si="43"/>
        <v>222812.15856628263</v>
      </c>
      <c r="J259" s="18">
        <f t="shared" si="38"/>
        <v>742.70719522094214</v>
      </c>
      <c r="K259" s="18">
        <f t="shared" si="39"/>
        <v>1644.3692821063555</v>
      </c>
      <c r="L259" s="18">
        <f t="shared" si="40"/>
        <v>221167.78928417628</v>
      </c>
      <c r="M259" s="19">
        <f t="shared" si="41"/>
        <v>2387.0764773272977</v>
      </c>
    </row>
    <row r="260" spans="1:13" x14ac:dyDescent="0.25">
      <c r="A260" s="3">
        <f>IF(B260&lt;&gt;"",250,"")</f>
        <v>250</v>
      </c>
      <c r="B260" s="18">
        <f t="shared" si="42"/>
        <v>154166.66666666989</v>
      </c>
      <c r="C260" s="18">
        <f t="shared" si="33"/>
        <v>513.8888888888996</v>
      </c>
      <c r="D260" s="18">
        <f t="shared" si="34"/>
        <v>1388.8888888888889</v>
      </c>
      <c r="E260" s="18">
        <f t="shared" si="35"/>
        <v>152777.77777778101</v>
      </c>
      <c r="F260" s="19">
        <f t="shared" si="36"/>
        <v>1902.7777777777885</v>
      </c>
      <c r="G260" s="20"/>
      <c r="H260" s="3">
        <f t="shared" si="37"/>
        <v>250</v>
      </c>
      <c r="I260" s="18">
        <f t="shared" si="43"/>
        <v>221167.78928417628</v>
      </c>
      <c r="J260" s="18">
        <f t="shared" si="38"/>
        <v>737.22596428058762</v>
      </c>
      <c r="K260" s="18">
        <f t="shared" si="39"/>
        <v>1649.8505130467101</v>
      </c>
      <c r="L260" s="18">
        <f t="shared" si="40"/>
        <v>219517.93877112956</v>
      </c>
      <c r="M260" s="19">
        <f t="shared" si="41"/>
        <v>2387.0764773272977</v>
      </c>
    </row>
    <row r="261" spans="1:13" x14ac:dyDescent="0.25">
      <c r="A261" s="3">
        <f>IF(B261&lt;&gt;"",251,"")</f>
        <v>251</v>
      </c>
      <c r="B261" s="18">
        <f t="shared" si="42"/>
        <v>152777.77777778101</v>
      </c>
      <c r="C261" s="18">
        <f t="shared" si="33"/>
        <v>509.25925925927004</v>
      </c>
      <c r="D261" s="18">
        <f t="shared" si="34"/>
        <v>1388.8888888888889</v>
      </c>
      <c r="E261" s="18">
        <f t="shared" si="35"/>
        <v>151388.88888889214</v>
      </c>
      <c r="F261" s="19">
        <f t="shared" si="36"/>
        <v>1898.148148148159</v>
      </c>
      <c r="G261" s="20"/>
      <c r="H261" s="3">
        <f t="shared" si="37"/>
        <v>251</v>
      </c>
      <c r="I261" s="18">
        <f t="shared" si="43"/>
        <v>219517.93877112956</v>
      </c>
      <c r="J261" s="18">
        <f t="shared" si="38"/>
        <v>731.72646257043186</v>
      </c>
      <c r="K261" s="18">
        <f t="shared" si="39"/>
        <v>1655.3500147568657</v>
      </c>
      <c r="L261" s="18">
        <f t="shared" si="40"/>
        <v>217862.58875637269</v>
      </c>
      <c r="M261" s="19">
        <f t="shared" si="41"/>
        <v>2387.0764773272977</v>
      </c>
    </row>
    <row r="262" spans="1:13" x14ac:dyDescent="0.25">
      <c r="A262" s="3">
        <f>IF(B262&lt;&gt;"",252,"")</f>
        <v>252</v>
      </c>
      <c r="B262" s="18">
        <f t="shared" si="42"/>
        <v>151388.88888889214</v>
      </c>
      <c r="C262" s="18">
        <f t="shared" si="33"/>
        <v>504.62962962964048</v>
      </c>
      <c r="D262" s="18">
        <f t="shared" si="34"/>
        <v>1388.8888888888889</v>
      </c>
      <c r="E262" s="18">
        <f t="shared" si="35"/>
        <v>150000.00000000326</v>
      </c>
      <c r="F262" s="19">
        <f t="shared" si="36"/>
        <v>1893.5185185185294</v>
      </c>
      <c r="G262" s="20"/>
      <c r="H262" s="3">
        <f t="shared" si="37"/>
        <v>252</v>
      </c>
      <c r="I262" s="18">
        <f t="shared" si="43"/>
        <v>217862.58875637269</v>
      </c>
      <c r="J262" s="18">
        <f t="shared" si="38"/>
        <v>726.20862918790897</v>
      </c>
      <c r="K262" s="18">
        <f t="shared" si="39"/>
        <v>1660.8678481393886</v>
      </c>
      <c r="L262" s="18">
        <f t="shared" si="40"/>
        <v>216201.72090823328</v>
      </c>
      <c r="M262" s="19">
        <f t="shared" si="41"/>
        <v>2387.0764773272977</v>
      </c>
    </row>
    <row r="263" spans="1:13" x14ac:dyDescent="0.25">
      <c r="A263" s="3">
        <f>IF(B263&lt;&gt;"",253,"")</f>
        <v>253</v>
      </c>
      <c r="B263" s="18">
        <f t="shared" si="42"/>
        <v>150000.00000000326</v>
      </c>
      <c r="C263" s="18">
        <f t="shared" si="33"/>
        <v>500.00000000001086</v>
      </c>
      <c r="D263" s="18">
        <f t="shared" si="34"/>
        <v>1388.8888888888889</v>
      </c>
      <c r="E263" s="18">
        <f t="shared" si="35"/>
        <v>148611.11111111438</v>
      </c>
      <c r="F263" s="19">
        <f t="shared" si="36"/>
        <v>1888.8888888888998</v>
      </c>
      <c r="G263" s="20"/>
      <c r="H263" s="3">
        <f t="shared" si="37"/>
        <v>253</v>
      </c>
      <c r="I263" s="18">
        <f t="shared" si="43"/>
        <v>216201.72090823328</v>
      </c>
      <c r="J263" s="18">
        <f t="shared" si="38"/>
        <v>720.67240302744437</v>
      </c>
      <c r="K263" s="18">
        <f t="shared" si="39"/>
        <v>1666.4040742998532</v>
      </c>
      <c r="L263" s="18">
        <f t="shared" si="40"/>
        <v>214535.31683393344</v>
      </c>
      <c r="M263" s="19">
        <f t="shared" si="41"/>
        <v>2387.0764773272977</v>
      </c>
    </row>
    <row r="264" spans="1:13" x14ac:dyDescent="0.25">
      <c r="A264" s="3">
        <f>IF(B264&lt;&gt;"",254,"")</f>
        <v>254</v>
      </c>
      <c r="B264" s="18">
        <f t="shared" si="42"/>
        <v>148611.11111111438</v>
      </c>
      <c r="C264" s="18">
        <f t="shared" si="33"/>
        <v>495.37037037038129</v>
      </c>
      <c r="D264" s="18">
        <f t="shared" si="34"/>
        <v>1388.8888888888889</v>
      </c>
      <c r="E264" s="18">
        <f t="shared" si="35"/>
        <v>147222.22222222551</v>
      </c>
      <c r="F264" s="19">
        <f t="shared" si="36"/>
        <v>1884.2592592592703</v>
      </c>
      <c r="G264" s="20"/>
      <c r="H264" s="3">
        <f t="shared" si="37"/>
        <v>254</v>
      </c>
      <c r="I264" s="18">
        <f t="shared" si="43"/>
        <v>214535.31683393344</v>
      </c>
      <c r="J264" s="18">
        <f t="shared" si="38"/>
        <v>715.11772277977809</v>
      </c>
      <c r="K264" s="18">
        <f t="shared" si="39"/>
        <v>1671.9587545475197</v>
      </c>
      <c r="L264" s="18">
        <f t="shared" si="40"/>
        <v>212863.35807938591</v>
      </c>
      <c r="M264" s="19">
        <f t="shared" si="41"/>
        <v>2387.0764773272977</v>
      </c>
    </row>
    <row r="265" spans="1:13" x14ac:dyDescent="0.25">
      <c r="A265" s="3">
        <f>IF(B265&lt;&gt;"",255,"")</f>
        <v>255</v>
      </c>
      <c r="B265" s="18">
        <f t="shared" si="42"/>
        <v>147222.22222222551</v>
      </c>
      <c r="C265" s="18">
        <f t="shared" si="33"/>
        <v>490.74074074075173</v>
      </c>
      <c r="D265" s="18">
        <f t="shared" si="34"/>
        <v>1388.8888888888889</v>
      </c>
      <c r="E265" s="18">
        <f t="shared" si="35"/>
        <v>145833.33333333663</v>
      </c>
      <c r="F265" s="19">
        <f t="shared" si="36"/>
        <v>1879.6296296296407</v>
      </c>
      <c r="G265" s="20"/>
      <c r="H265" s="3">
        <f t="shared" si="37"/>
        <v>255</v>
      </c>
      <c r="I265" s="18">
        <f t="shared" si="43"/>
        <v>212863.35807938591</v>
      </c>
      <c r="J265" s="18">
        <f t="shared" si="38"/>
        <v>709.54452693128633</v>
      </c>
      <c r="K265" s="18">
        <f t="shared" si="39"/>
        <v>1677.5319503960113</v>
      </c>
      <c r="L265" s="18">
        <f t="shared" si="40"/>
        <v>211185.82612898989</v>
      </c>
      <c r="M265" s="19">
        <f t="shared" si="41"/>
        <v>2387.0764773272977</v>
      </c>
    </row>
    <row r="266" spans="1:13" x14ac:dyDescent="0.25">
      <c r="A266" s="3">
        <f>IF(B266&lt;&gt;"",256,"")</f>
        <v>256</v>
      </c>
      <c r="B266" s="18">
        <f t="shared" si="42"/>
        <v>145833.33333333663</v>
      </c>
      <c r="C266" s="18">
        <f t="shared" si="33"/>
        <v>486.11111111112217</v>
      </c>
      <c r="D266" s="18">
        <f t="shared" si="34"/>
        <v>1388.8888888888889</v>
      </c>
      <c r="E266" s="18">
        <f t="shared" si="35"/>
        <v>144444.44444444776</v>
      </c>
      <c r="F266" s="19">
        <f t="shared" si="36"/>
        <v>1875.0000000000111</v>
      </c>
      <c r="G266" s="20"/>
      <c r="H266" s="3">
        <f t="shared" si="37"/>
        <v>256</v>
      </c>
      <c r="I266" s="18">
        <f t="shared" si="43"/>
        <v>211185.82612898989</v>
      </c>
      <c r="J266" s="18">
        <f t="shared" si="38"/>
        <v>703.95275376329971</v>
      </c>
      <c r="K266" s="18">
        <f t="shared" si="39"/>
        <v>1683.1237235639978</v>
      </c>
      <c r="L266" s="18">
        <f t="shared" si="40"/>
        <v>209502.70240542589</v>
      </c>
      <c r="M266" s="19">
        <f t="shared" si="41"/>
        <v>2387.0764773272977</v>
      </c>
    </row>
    <row r="267" spans="1:13" x14ac:dyDescent="0.25">
      <c r="A267" s="3">
        <f>IF(B267&lt;&gt;"",257,"")</f>
        <v>257</v>
      </c>
      <c r="B267" s="18">
        <f t="shared" si="42"/>
        <v>144444.44444444776</v>
      </c>
      <c r="C267" s="18">
        <f t="shared" si="33"/>
        <v>481.48148148149249</v>
      </c>
      <c r="D267" s="18">
        <f t="shared" si="34"/>
        <v>1388.8888888888889</v>
      </c>
      <c r="E267" s="18">
        <f t="shared" si="35"/>
        <v>143055.55555555888</v>
      </c>
      <c r="F267" s="19">
        <f t="shared" si="36"/>
        <v>1870.3703703703814</v>
      </c>
      <c r="G267" s="20"/>
      <c r="H267" s="3">
        <f t="shared" si="37"/>
        <v>257</v>
      </c>
      <c r="I267" s="18">
        <f t="shared" si="43"/>
        <v>209502.70240542589</v>
      </c>
      <c r="J267" s="18">
        <f t="shared" si="38"/>
        <v>698.34234135141969</v>
      </c>
      <c r="K267" s="18">
        <f t="shared" si="39"/>
        <v>1688.734135975878</v>
      </c>
      <c r="L267" s="18">
        <f t="shared" si="40"/>
        <v>207813.96826945001</v>
      </c>
      <c r="M267" s="19">
        <f t="shared" si="41"/>
        <v>2387.0764773272977</v>
      </c>
    </row>
    <row r="268" spans="1:13" x14ac:dyDescent="0.25">
      <c r="A268" s="3">
        <f>IF(B268&lt;&gt;"",258,"")</f>
        <v>258</v>
      </c>
      <c r="B268" s="18">
        <f t="shared" si="42"/>
        <v>143055.55555555888</v>
      </c>
      <c r="C268" s="18">
        <f t="shared" ref="C268:C331" si="44">IFERROR(B268*$G$4/12,"")</f>
        <v>476.85185185186293</v>
      </c>
      <c r="D268" s="18">
        <f t="shared" ref="D268:D331" si="45">IF(A268&lt;&gt;"",$G$3/$G$5,"")</f>
        <v>1388.8888888888889</v>
      </c>
      <c r="E268" s="18">
        <f t="shared" ref="E268:E331" si="46">IF(A268&lt;&gt;"",B268-D268,"")</f>
        <v>141666.66666667</v>
      </c>
      <c r="F268" s="19">
        <f t="shared" ref="F268:F331" si="47">IF(A268&lt;&gt;"",C268+D268,"")</f>
        <v>1865.7407407407518</v>
      </c>
      <c r="G268" s="20"/>
      <c r="H268" s="3">
        <f t="shared" ref="H268:H331" si="48">A268</f>
        <v>258</v>
      </c>
      <c r="I268" s="18">
        <f t="shared" si="43"/>
        <v>207813.96826945001</v>
      </c>
      <c r="J268" s="18">
        <f t="shared" ref="J268:J331" si="49">IFERROR(I268*$G$4/12,"")</f>
        <v>692.71322756483335</v>
      </c>
      <c r="K268" s="18">
        <f t="shared" ref="K268:K331" si="50">IFERROR(M268-J268,"")</f>
        <v>1694.3632497624644</v>
      </c>
      <c r="L268" s="18">
        <f t="shared" ref="L268:L331" si="51">IFERROR(I268-K268,"")</f>
        <v>206119.60501968753</v>
      </c>
      <c r="M268" s="19">
        <f t="shared" ref="M268:M331" si="52">IF(H268&lt;&gt;"",-PMT($G$4/12,$G$5,$G$3),"")</f>
        <v>2387.0764773272977</v>
      </c>
    </row>
    <row r="269" spans="1:13" x14ac:dyDescent="0.25">
      <c r="A269" s="3">
        <f>IF(B269&lt;&gt;"",259,"")</f>
        <v>259</v>
      </c>
      <c r="B269" s="18">
        <f t="shared" ref="B269:B332" si="53">IFERROR(IF(B268-D268&gt;=0.01,B268-D268,""),"")</f>
        <v>141666.66666667</v>
      </c>
      <c r="C269" s="18">
        <f t="shared" si="44"/>
        <v>472.22222222223337</v>
      </c>
      <c r="D269" s="18">
        <f t="shared" si="45"/>
        <v>1388.8888888888889</v>
      </c>
      <c r="E269" s="18">
        <f t="shared" si="46"/>
        <v>140277.77777778113</v>
      </c>
      <c r="F269" s="19">
        <f t="shared" si="47"/>
        <v>1861.1111111111222</v>
      </c>
      <c r="G269" s="20"/>
      <c r="H269" s="3">
        <f t="shared" si="48"/>
        <v>259</v>
      </c>
      <c r="I269" s="18">
        <f t="shared" ref="I269:I332" si="54">IFERROR(IF(I268-K268&gt;=0.01,I268-K268,""),"")</f>
        <v>206119.60501968753</v>
      </c>
      <c r="J269" s="18">
        <f t="shared" si="49"/>
        <v>687.06535006562501</v>
      </c>
      <c r="K269" s="18">
        <f t="shared" si="50"/>
        <v>1700.0111272616728</v>
      </c>
      <c r="L269" s="18">
        <f t="shared" si="51"/>
        <v>204419.59389242585</v>
      </c>
      <c r="M269" s="19">
        <f t="shared" si="52"/>
        <v>2387.0764773272977</v>
      </c>
    </row>
    <row r="270" spans="1:13" x14ac:dyDescent="0.25">
      <c r="A270" s="3">
        <f>IF(B270&lt;&gt;"",260,"")</f>
        <v>260</v>
      </c>
      <c r="B270" s="18">
        <f t="shared" si="53"/>
        <v>140277.77777778113</v>
      </c>
      <c r="C270" s="18">
        <f t="shared" si="44"/>
        <v>467.59259259260375</v>
      </c>
      <c r="D270" s="18">
        <f t="shared" si="45"/>
        <v>1388.8888888888889</v>
      </c>
      <c r="E270" s="18">
        <f t="shared" si="46"/>
        <v>138888.88888889225</v>
      </c>
      <c r="F270" s="19">
        <f t="shared" si="47"/>
        <v>1856.4814814814927</v>
      </c>
      <c r="G270" s="20"/>
      <c r="H270" s="3">
        <f t="shared" si="48"/>
        <v>260</v>
      </c>
      <c r="I270" s="18">
        <f t="shared" si="54"/>
        <v>204419.59389242585</v>
      </c>
      <c r="J270" s="18">
        <f t="shared" si="49"/>
        <v>681.3986463080862</v>
      </c>
      <c r="K270" s="18">
        <f t="shared" si="50"/>
        <v>1705.6778310192115</v>
      </c>
      <c r="L270" s="18">
        <f t="shared" si="51"/>
        <v>202713.91606140663</v>
      </c>
      <c r="M270" s="19">
        <f t="shared" si="52"/>
        <v>2387.0764773272977</v>
      </c>
    </row>
    <row r="271" spans="1:13" x14ac:dyDescent="0.25">
      <c r="A271" s="3">
        <f>IF(B271&lt;&gt;"",261,"")</f>
        <v>261</v>
      </c>
      <c r="B271" s="18">
        <f t="shared" si="53"/>
        <v>138888.88888889225</v>
      </c>
      <c r="C271" s="18">
        <f t="shared" si="44"/>
        <v>462.96296296297419</v>
      </c>
      <c r="D271" s="18">
        <f t="shared" si="45"/>
        <v>1388.8888888888889</v>
      </c>
      <c r="E271" s="18">
        <f t="shared" si="46"/>
        <v>137500.00000000338</v>
      </c>
      <c r="F271" s="19">
        <f t="shared" si="47"/>
        <v>1851.8518518518631</v>
      </c>
      <c r="G271" s="20"/>
      <c r="H271" s="3">
        <f t="shared" si="48"/>
        <v>261</v>
      </c>
      <c r="I271" s="18">
        <f t="shared" si="54"/>
        <v>202713.91606140663</v>
      </c>
      <c r="J271" s="18">
        <f t="shared" si="49"/>
        <v>675.71305353802211</v>
      </c>
      <c r="K271" s="18">
        <f t="shared" si="50"/>
        <v>1711.3634237892757</v>
      </c>
      <c r="L271" s="18">
        <f t="shared" si="51"/>
        <v>201002.55263761737</v>
      </c>
      <c r="M271" s="19">
        <f t="shared" si="52"/>
        <v>2387.0764773272977</v>
      </c>
    </row>
    <row r="272" spans="1:13" x14ac:dyDescent="0.25">
      <c r="A272" s="3">
        <f>IF(B272&lt;&gt;"",262,"")</f>
        <v>262</v>
      </c>
      <c r="B272" s="18">
        <f t="shared" si="53"/>
        <v>137500.00000000338</v>
      </c>
      <c r="C272" s="18">
        <f t="shared" si="44"/>
        <v>458.33333333334463</v>
      </c>
      <c r="D272" s="18">
        <f t="shared" si="45"/>
        <v>1388.8888888888889</v>
      </c>
      <c r="E272" s="18">
        <f t="shared" si="46"/>
        <v>136111.1111111145</v>
      </c>
      <c r="F272" s="19">
        <f t="shared" si="47"/>
        <v>1847.2222222222335</v>
      </c>
      <c r="G272" s="20"/>
      <c r="H272" s="3">
        <f t="shared" si="48"/>
        <v>262</v>
      </c>
      <c r="I272" s="18">
        <f t="shared" si="54"/>
        <v>201002.55263761737</v>
      </c>
      <c r="J272" s="18">
        <f t="shared" si="49"/>
        <v>670.00850879205791</v>
      </c>
      <c r="K272" s="18">
        <f t="shared" si="50"/>
        <v>1717.0679685352397</v>
      </c>
      <c r="L272" s="18">
        <f t="shared" si="51"/>
        <v>199285.48466908213</v>
      </c>
      <c r="M272" s="19">
        <f t="shared" si="52"/>
        <v>2387.0764773272977</v>
      </c>
    </row>
    <row r="273" spans="1:13" x14ac:dyDescent="0.25">
      <c r="A273" s="3">
        <f>IF(B273&lt;&gt;"",263,"")</f>
        <v>263</v>
      </c>
      <c r="B273" s="18">
        <f t="shared" si="53"/>
        <v>136111.1111111145</v>
      </c>
      <c r="C273" s="18">
        <f t="shared" si="44"/>
        <v>453.70370370371501</v>
      </c>
      <c r="D273" s="18">
        <f t="shared" si="45"/>
        <v>1388.8888888888889</v>
      </c>
      <c r="E273" s="18">
        <f t="shared" si="46"/>
        <v>134722.22222222562</v>
      </c>
      <c r="F273" s="19">
        <f t="shared" si="47"/>
        <v>1842.592592592604</v>
      </c>
      <c r="G273" s="20"/>
      <c r="H273" s="3">
        <f t="shared" si="48"/>
        <v>263</v>
      </c>
      <c r="I273" s="18">
        <f t="shared" si="54"/>
        <v>199285.48466908213</v>
      </c>
      <c r="J273" s="18">
        <f t="shared" si="49"/>
        <v>664.28494889694048</v>
      </c>
      <c r="K273" s="18">
        <f t="shared" si="50"/>
        <v>1722.7915284303572</v>
      </c>
      <c r="L273" s="18">
        <f t="shared" si="51"/>
        <v>197562.69314065177</v>
      </c>
      <c r="M273" s="19">
        <f t="shared" si="52"/>
        <v>2387.0764773272977</v>
      </c>
    </row>
    <row r="274" spans="1:13" x14ac:dyDescent="0.25">
      <c r="A274" s="3">
        <f>IF(B274&lt;&gt;"",264,"")</f>
        <v>264</v>
      </c>
      <c r="B274" s="18">
        <f t="shared" si="53"/>
        <v>134722.22222222562</v>
      </c>
      <c r="C274" s="18">
        <f t="shared" si="44"/>
        <v>449.07407407408544</v>
      </c>
      <c r="D274" s="18">
        <f t="shared" si="45"/>
        <v>1388.8888888888889</v>
      </c>
      <c r="E274" s="18">
        <f t="shared" si="46"/>
        <v>133333.33333333675</v>
      </c>
      <c r="F274" s="19">
        <f t="shared" si="47"/>
        <v>1837.9629629629744</v>
      </c>
      <c r="G274" s="20"/>
      <c r="H274" s="3">
        <f t="shared" si="48"/>
        <v>264</v>
      </c>
      <c r="I274" s="18">
        <f t="shared" si="54"/>
        <v>197562.69314065177</v>
      </c>
      <c r="J274" s="18">
        <f t="shared" si="49"/>
        <v>658.54231046883922</v>
      </c>
      <c r="K274" s="18">
        <f t="shared" si="50"/>
        <v>1728.5341668584583</v>
      </c>
      <c r="L274" s="18">
        <f t="shared" si="51"/>
        <v>195834.15897379332</v>
      </c>
      <c r="M274" s="19">
        <f t="shared" si="52"/>
        <v>2387.0764773272977</v>
      </c>
    </row>
    <row r="275" spans="1:13" x14ac:dyDescent="0.25">
      <c r="A275" s="3">
        <f>IF(B275&lt;&gt;"",265,"")</f>
        <v>265</v>
      </c>
      <c r="B275" s="18">
        <f t="shared" si="53"/>
        <v>133333.33333333675</v>
      </c>
      <c r="C275" s="18">
        <f t="shared" si="44"/>
        <v>444.44444444445588</v>
      </c>
      <c r="D275" s="18">
        <f t="shared" si="45"/>
        <v>1388.8888888888889</v>
      </c>
      <c r="E275" s="18">
        <f t="shared" si="46"/>
        <v>131944.44444444787</v>
      </c>
      <c r="F275" s="19">
        <f t="shared" si="47"/>
        <v>1833.3333333333449</v>
      </c>
      <c r="G275" s="20"/>
      <c r="H275" s="3">
        <f t="shared" si="48"/>
        <v>265</v>
      </c>
      <c r="I275" s="18">
        <f t="shared" si="54"/>
        <v>195834.15897379332</v>
      </c>
      <c r="J275" s="18">
        <f t="shared" si="49"/>
        <v>652.7805299126444</v>
      </c>
      <c r="K275" s="18">
        <f t="shared" si="50"/>
        <v>1734.2959474146533</v>
      </c>
      <c r="L275" s="18">
        <f t="shared" si="51"/>
        <v>194099.86302637868</v>
      </c>
      <c r="M275" s="19">
        <f t="shared" si="52"/>
        <v>2387.0764773272977</v>
      </c>
    </row>
    <row r="276" spans="1:13" x14ac:dyDescent="0.25">
      <c r="A276" s="3">
        <f>IF(B276&lt;&gt;"",266,"")</f>
        <v>266</v>
      </c>
      <c r="B276" s="18">
        <f t="shared" si="53"/>
        <v>131944.44444444787</v>
      </c>
      <c r="C276" s="18">
        <f t="shared" si="44"/>
        <v>439.81481481482621</v>
      </c>
      <c r="D276" s="18">
        <f t="shared" si="45"/>
        <v>1388.8888888888889</v>
      </c>
      <c r="E276" s="18">
        <f t="shared" si="46"/>
        <v>130555.55555555898</v>
      </c>
      <c r="F276" s="19">
        <f t="shared" si="47"/>
        <v>1828.7037037037151</v>
      </c>
      <c r="G276" s="20"/>
      <c r="H276" s="3">
        <f t="shared" si="48"/>
        <v>266</v>
      </c>
      <c r="I276" s="18">
        <f t="shared" si="54"/>
        <v>194099.86302637868</v>
      </c>
      <c r="J276" s="18">
        <f t="shared" si="49"/>
        <v>646.99954342126227</v>
      </c>
      <c r="K276" s="18">
        <f t="shared" si="50"/>
        <v>1740.0769339060353</v>
      </c>
      <c r="L276" s="18">
        <f t="shared" si="51"/>
        <v>192359.78609247264</v>
      </c>
      <c r="M276" s="19">
        <f t="shared" si="52"/>
        <v>2387.0764773272977</v>
      </c>
    </row>
    <row r="277" spans="1:13" x14ac:dyDescent="0.25">
      <c r="A277" s="3">
        <f>IF(B277&lt;&gt;"",267,"")</f>
        <v>267</v>
      </c>
      <c r="B277" s="18">
        <f t="shared" si="53"/>
        <v>130555.55555555898</v>
      </c>
      <c r="C277" s="18">
        <f t="shared" si="44"/>
        <v>435.18518518519659</v>
      </c>
      <c r="D277" s="18">
        <f t="shared" si="45"/>
        <v>1388.8888888888889</v>
      </c>
      <c r="E277" s="18">
        <f t="shared" si="46"/>
        <v>129166.66666667009</v>
      </c>
      <c r="F277" s="19">
        <f t="shared" si="47"/>
        <v>1824.0740740740855</v>
      </c>
      <c r="G277" s="20"/>
      <c r="H277" s="3">
        <f t="shared" si="48"/>
        <v>267</v>
      </c>
      <c r="I277" s="18">
        <f t="shared" si="54"/>
        <v>192359.78609247264</v>
      </c>
      <c r="J277" s="18">
        <f t="shared" si="49"/>
        <v>641.19928697490889</v>
      </c>
      <c r="K277" s="18">
        <f t="shared" si="50"/>
        <v>1745.8771903523889</v>
      </c>
      <c r="L277" s="18">
        <f t="shared" si="51"/>
        <v>190613.90890212025</v>
      </c>
      <c r="M277" s="19">
        <f t="shared" si="52"/>
        <v>2387.0764773272977</v>
      </c>
    </row>
    <row r="278" spans="1:13" x14ac:dyDescent="0.25">
      <c r="A278" s="3">
        <f>IF(B278&lt;&gt;"",268,"")</f>
        <v>268</v>
      </c>
      <c r="B278" s="18">
        <f t="shared" si="53"/>
        <v>129166.66666667009</v>
      </c>
      <c r="C278" s="18">
        <f t="shared" si="44"/>
        <v>430.55555555556697</v>
      </c>
      <c r="D278" s="18">
        <f t="shared" si="45"/>
        <v>1388.8888888888889</v>
      </c>
      <c r="E278" s="18">
        <f t="shared" si="46"/>
        <v>127777.7777777812</v>
      </c>
      <c r="F278" s="19">
        <f t="shared" si="47"/>
        <v>1819.4444444444559</v>
      </c>
      <c r="G278" s="20"/>
      <c r="H278" s="3">
        <f t="shared" si="48"/>
        <v>268</v>
      </c>
      <c r="I278" s="18">
        <f t="shared" si="54"/>
        <v>190613.90890212025</v>
      </c>
      <c r="J278" s="18">
        <f t="shared" si="49"/>
        <v>635.37969634040087</v>
      </c>
      <c r="K278" s="18">
        <f t="shared" si="50"/>
        <v>1751.6967809868968</v>
      </c>
      <c r="L278" s="18">
        <f t="shared" si="51"/>
        <v>188862.21212113334</v>
      </c>
      <c r="M278" s="19">
        <f t="shared" si="52"/>
        <v>2387.0764773272977</v>
      </c>
    </row>
    <row r="279" spans="1:13" x14ac:dyDescent="0.25">
      <c r="A279" s="3">
        <f>IF(B279&lt;&gt;"",269,"")</f>
        <v>269</v>
      </c>
      <c r="B279" s="18">
        <f t="shared" si="53"/>
        <v>127777.7777777812</v>
      </c>
      <c r="C279" s="18">
        <f t="shared" si="44"/>
        <v>425.92592592593729</v>
      </c>
      <c r="D279" s="18">
        <f t="shared" si="45"/>
        <v>1388.8888888888889</v>
      </c>
      <c r="E279" s="18">
        <f t="shared" si="46"/>
        <v>126388.88888889231</v>
      </c>
      <c r="F279" s="19">
        <f t="shared" si="47"/>
        <v>1814.8148148148261</v>
      </c>
      <c r="G279" s="20"/>
      <c r="H279" s="3">
        <f t="shared" si="48"/>
        <v>269</v>
      </c>
      <c r="I279" s="18">
        <f t="shared" si="54"/>
        <v>188862.21212113334</v>
      </c>
      <c r="J279" s="18">
        <f t="shared" si="49"/>
        <v>629.54070707044445</v>
      </c>
      <c r="K279" s="18">
        <f t="shared" si="50"/>
        <v>1757.5357702568531</v>
      </c>
      <c r="L279" s="18">
        <f t="shared" si="51"/>
        <v>187104.67635087649</v>
      </c>
      <c r="M279" s="19">
        <f t="shared" si="52"/>
        <v>2387.0764773272977</v>
      </c>
    </row>
    <row r="280" spans="1:13" x14ac:dyDescent="0.25">
      <c r="A280" s="3">
        <f>IF(B280&lt;&gt;"",270,"")</f>
        <v>270</v>
      </c>
      <c r="B280" s="18">
        <f t="shared" si="53"/>
        <v>126388.88888889231</v>
      </c>
      <c r="C280" s="18">
        <f t="shared" si="44"/>
        <v>421.29629629630767</v>
      </c>
      <c r="D280" s="18">
        <f t="shared" si="45"/>
        <v>1388.8888888888889</v>
      </c>
      <c r="E280" s="18">
        <f t="shared" si="46"/>
        <v>125000.00000000342</v>
      </c>
      <c r="F280" s="19">
        <f t="shared" si="47"/>
        <v>1810.1851851851966</v>
      </c>
      <c r="G280" s="20"/>
      <c r="H280" s="3">
        <f t="shared" si="48"/>
        <v>270</v>
      </c>
      <c r="I280" s="18">
        <f t="shared" si="54"/>
        <v>187104.67635087649</v>
      </c>
      <c r="J280" s="18">
        <f t="shared" si="49"/>
        <v>623.68225450292164</v>
      </c>
      <c r="K280" s="18">
        <f t="shared" si="50"/>
        <v>1763.3942228243759</v>
      </c>
      <c r="L280" s="18">
        <f t="shared" si="51"/>
        <v>185341.28212805212</v>
      </c>
      <c r="M280" s="19">
        <f t="shared" si="52"/>
        <v>2387.0764773272977</v>
      </c>
    </row>
    <row r="281" spans="1:13" x14ac:dyDescent="0.25">
      <c r="A281" s="3">
        <f>IF(B281&lt;&gt;"",271,"")</f>
        <v>271</v>
      </c>
      <c r="B281" s="18">
        <f t="shared" si="53"/>
        <v>125000.00000000342</v>
      </c>
      <c r="C281" s="18">
        <f t="shared" si="44"/>
        <v>416.66666666667811</v>
      </c>
      <c r="D281" s="18">
        <f t="shared" si="45"/>
        <v>1388.8888888888889</v>
      </c>
      <c r="E281" s="18">
        <f t="shared" si="46"/>
        <v>123611.11111111453</v>
      </c>
      <c r="F281" s="19">
        <f t="shared" si="47"/>
        <v>1805.555555555567</v>
      </c>
      <c r="G281" s="20"/>
      <c r="H281" s="3">
        <f t="shared" si="48"/>
        <v>271</v>
      </c>
      <c r="I281" s="18">
        <f t="shared" si="54"/>
        <v>185341.28212805212</v>
      </c>
      <c r="J281" s="18">
        <f t="shared" si="49"/>
        <v>617.80427376017371</v>
      </c>
      <c r="K281" s="18">
        <f t="shared" si="50"/>
        <v>1769.2722035671241</v>
      </c>
      <c r="L281" s="18">
        <f t="shared" si="51"/>
        <v>183572.009924485</v>
      </c>
      <c r="M281" s="19">
        <f t="shared" si="52"/>
        <v>2387.0764773272977</v>
      </c>
    </row>
    <row r="282" spans="1:13" x14ac:dyDescent="0.25">
      <c r="A282" s="3">
        <f>IF(B282&lt;&gt;"",272,"")</f>
        <v>272</v>
      </c>
      <c r="B282" s="18">
        <f t="shared" si="53"/>
        <v>123611.11111111453</v>
      </c>
      <c r="C282" s="18">
        <f t="shared" si="44"/>
        <v>412.03703703704849</v>
      </c>
      <c r="D282" s="18">
        <f t="shared" si="45"/>
        <v>1388.8888888888889</v>
      </c>
      <c r="E282" s="18">
        <f t="shared" si="46"/>
        <v>122222.22222222564</v>
      </c>
      <c r="F282" s="19">
        <f t="shared" si="47"/>
        <v>1800.9259259259375</v>
      </c>
      <c r="G282" s="20"/>
      <c r="H282" s="3">
        <f t="shared" si="48"/>
        <v>272</v>
      </c>
      <c r="I282" s="18">
        <f t="shared" si="54"/>
        <v>183572.009924485</v>
      </c>
      <c r="J282" s="18">
        <f t="shared" si="49"/>
        <v>611.90669974828336</v>
      </c>
      <c r="K282" s="18">
        <f t="shared" si="50"/>
        <v>1775.1697775790144</v>
      </c>
      <c r="L282" s="18">
        <f t="shared" si="51"/>
        <v>181796.84014690598</v>
      </c>
      <c r="M282" s="19">
        <f t="shared" si="52"/>
        <v>2387.0764773272977</v>
      </c>
    </row>
    <row r="283" spans="1:13" x14ac:dyDescent="0.25">
      <c r="A283" s="3">
        <f>IF(B283&lt;&gt;"",273,"")</f>
        <v>273</v>
      </c>
      <c r="B283" s="18">
        <f t="shared" si="53"/>
        <v>122222.22222222564</v>
      </c>
      <c r="C283" s="18">
        <f t="shared" si="44"/>
        <v>407.40740740741882</v>
      </c>
      <c r="D283" s="18">
        <f t="shared" si="45"/>
        <v>1388.8888888888889</v>
      </c>
      <c r="E283" s="18">
        <f t="shared" si="46"/>
        <v>120833.33333333675</v>
      </c>
      <c r="F283" s="19">
        <f t="shared" si="47"/>
        <v>1796.2962962963077</v>
      </c>
      <c r="G283" s="20"/>
      <c r="H283" s="3">
        <f t="shared" si="48"/>
        <v>273</v>
      </c>
      <c r="I283" s="18">
        <f t="shared" si="54"/>
        <v>181796.84014690598</v>
      </c>
      <c r="J283" s="18">
        <f t="shared" si="49"/>
        <v>605.98946715635327</v>
      </c>
      <c r="K283" s="18">
        <f t="shared" si="50"/>
        <v>1781.0870101709443</v>
      </c>
      <c r="L283" s="18">
        <f t="shared" si="51"/>
        <v>180015.75313673503</v>
      </c>
      <c r="M283" s="19">
        <f t="shared" si="52"/>
        <v>2387.0764773272977</v>
      </c>
    </row>
    <row r="284" spans="1:13" x14ac:dyDescent="0.25">
      <c r="A284" s="3">
        <f>IF(B284&lt;&gt;"",274,"")</f>
        <v>274</v>
      </c>
      <c r="B284" s="18">
        <f t="shared" si="53"/>
        <v>120833.33333333675</v>
      </c>
      <c r="C284" s="18">
        <f t="shared" si="44"/>
        <v>402.7777777777892</v>
      </c>
      <c r="D284" s="18">
        <f t="shared" si="45"/>
        <v>1388.8888888888889</v>
      </c>
      <c r="E284" s="18">
        <f t="shared" si="46"/>
        <v>119444.44444444786</v>
      </c>
      <c r="F284" s="19">
        <f t="shared" si="47"/>
        <v>1791.6666666666781</v>
      </c>
      <c r="G284" s="20"/>
      <c r="H284" s="3">
        <f t="shared" si="48"/>
        <v>274</v>
      </c>
      <c r="I284" s="18">
        <f t="shared" si="54"/>
        <v>180015.75313673503</v>
      </c>
      <c r="J284" s="18">
        <f t="shared" si="49"/>
        <v>600.05251045578348</v>
      </c>
      <c r="K284" s="18">
        <f t="shared" si="50"/>
        <v>1787.0239668715142</v>
      </c>
      <c r="L284" s="18">
        <f t="shared" si="51"/>
        <v>178228.72916986351</v>
      </c>
      <c r="M284" s="19">
        <f t="shared" si="52"/>
        <v>2387.0764773272977</v>
      </c>
    </row>
    <row r="285" spans="1:13" x14ac:dyDescent="0.25">
      <c r="A285" s="3">
        <f>IF(B285&lt;&gt;"",275,"")</f>
        <v>275</v>
      </c>
      <c r="B285" s="18">
        <f t="shared" si="53"/>
        <v>119444.44444444786</v>
      </c>
      <c r="C285" s="18">
        <f t="shared" si="44"/>
        <v>398.14814814815958</v>
      </c>
      <c r="D285" s="18">
        <f t="shared" si="45"/>
        <v>1388.8888888888889</v>
      </c>
      <c r="E285" s="18">
        <f t="shared" si="46"/>
        <v>118055.55555555897</v>
      </c>
      <c r="F285" s="19">
        <f t="shared" si="47"/>
        <v>1787.0370370370485</v>
      </c>
      <c r="G285" s="20"/>
      <c r="H285" s="3">
        <f t="shared" si="48"/>
        <v>275</v>
      </c>
      <c r="I285" s="18">
        <f t="shared" si="54"/>
        <v>178228.72916986351</v>
      </c>
      <c r="J285" s="18">
        <f t="shared" si="49"/>
        <v>594.09576389954498</v>
      </c>
      <c r="K285" s="18">
        <f t="shared" si="50"/>
        <v>1792.9807134277526</v>
      </c>
      <c r="L285" s="18">
        <f t="shared" si="51"/>
        <v>176435.74845643574</v>
      </c>
      <c r="M285" s="19">
        <f t="shared" si="52"/>
        <v>2387.0764773272977</v>
      </c>
    </row>
    <row r="286" spans="1:13" x14ac:dyDescent="0.25">
      <c r="A286" s="3">
        <f>IF(B286&lt;&gt;"",276,"")</f>
        <v>276</v>
      </c>
      <c r="B286" s="18">
        <f t="shared" si="53"/>
        <v>118055.55555555897</v>
      </c>
      <c r="C286" s="18">
        <f t="shared" si="44"/>
        <v>393.5185185185299</v>
      </c>
      <c r="D286" s="18">
        <f t="shared" si="45"/>
        <v>1388.8888888888889</v>
      </c>
      <c r="E286" s="18">
        <f t="shared" si="46"/>
        <v>116666.66666667008</v>
      </c>
      <c r="F286" s="19">
        <f t="shared" si="47"/>
        <v>1782.4074074074188</v>
      </c>
      <c r="G286" s="20"/>
      <c r="H286" s="3">
        <f t="shared" si="48"/>
        <v>276</v>
      </c>
      <c r="I286" s="18">
        <f t="shared" si="54"/>
        <v>176435.74845643574</v>
      </c>
      <c r="J286" s="18">
        <f t="shared" si="49"/>
        <v>588.1191615214525</v>
      </c>
      <c r="K286" s="18">
        <f t="shared" si="50"/>
        <v>1798.9573158058452</v>
      </c>
      <c r="L286" s="18">
        <f t="shared" si="51"/>
        <v>174636.79114062991</v>
      </c>
      <c r="M286" s="19">
        <f t="shared" si="52"/>
        <v>2387.0764773272977</v>
      </c>
    </row>
    <row r="287" spans="1:13" x14ac:dyDescent="0.25">
      <c r="A287" s="3">
        <f>IF(B287&lt;&gt;"",277,"")</f>
        <v>277</v>
      </c>
      <c r="B287" s="18">
        <f t="shared" si="53"/>
        <v>116666.66666667008</v>
      </c>
      <c r="C287" s="18">
        <f t="shared" si="44"/>
        <v>388.88888888890028</v>
      </c>
      <c r="D287" s="18">
        <f t="shared" si="45"/>
        <v>1388.8888888888889</v>
      </c>
      <c r="E287" s="18">
        <f t="shared" si="46"/>
        <v>115277.77777778119</v>
      </c>
      <c r="F287" s="19">
        <f t="shared" si="47"/>
        <v>1777.7777777777892</v>
      </c>
      <c r="G287" s="20"/>
      <c r="H287" s="3">
        <f t="shared" si="48"/>
        <v>277</v>
      </c>
      <c r="I287" s="18">
        <f t="shared" si="54"/>
        <v>174636.79114062991</v>
      </c>
      <c r="J287" s="18">
        <f t="shared" si="49"/>
        <v>582.12263713543302</v>
      </c>
      <c r="K287" s="18">
        <f t="shared" si="50"/>
        <v>1804.9538401918646</v>
      </c>
      <c r="L287" s="18">
        <f t="shared" si="51"/>
        <v>172831.83730043806</v>
      </c>
      <c r="M287" s="19">
        <f t="shared" si="52"/>
        <v>2387.0764773272977</v>
      </c>
    </row>
    <row r="288" spans="1:13" x14ac:dyDescent="0.25">
      <c r="A288" s="3">
        <f>IF(B288&lt;&gt;"",278,"")</f>
        <v>278</v>
      </c>
      <c r="B288" s="18">
        <f t="shared" si="53"/>
        <v>115277.77777778119</v>
      </c>
      <c r="C288" s="18">
        <f t="shared" si="44"/>
        <v>384.25925925927066</v>
      </c>
      <c r="D288" s="18">
        <f t="shared" si="45"/>
        <v>1388.8888888888889</v>
      </c>
      <c r="E288" s="18">
        <f t="shared" si="46"/>
        <v>113888.8888888923</v>
      </c>
      <c r="F288" s="19">
        <f t="shared" si="47"/>
        <v>1773.1481481481596</v>
      </c>
      <c r="G288" s="20"/>
      <c r="H288" s="3">
        <f t="shared" si="48"/>
        <v>278</v>
      </c>
      <c r="I288" s="18">
        <f t="shared" si="54"/>
        <v>172831.83730043806</v>
      </c>
      <c r="J288" s="18">
        <f t="shared" si="49"/>
        <v>576.10612433479355</v>
      </c>
      <c r="K288" s="18">
        <f t="shared" si="50"/>
        <v>1810.9703529925041</v>
      </c>
      <c r="L288" s="18">
        <f t="shared" si="51"/>
        <v>171020.86694744555</v>
      </c>
      <c r="M288" s="19">
        <f t="shared" si="52"/>
        <v>2387.0764773272977</v>
      </c>
    </row>
    <row r="289" spans="1:13" x14ac:dyDescent="0.25">
      <c r="A289" s="3">
        <f>IF(B289&lt;&gt;"",279,"")</f>
        <v>279</v>
      </c>
      <c r="B289" s="18">
        <f t="shared" si="53"/>
        <v>113888.8888888923</v>
      </c>
      <c r="C289" s="18">
        <f t="shared" si="44"/>
        <v>379.62962962964099</v>
      </c>
      <c r="D289" s="18">
        <f t="shared" si="45"/>
        <v>1388.8888888888889</v>
      </c>
      <c r="E289" s="18">
        <f t="shared" si="46"/>
        <v>112500.00000000341</v>
      </c>
      <c r="F289" s="19">
        <f t="shared" si="47"/>
        <v>1768.5185185185298</v>
      </c>
      <c r="G289" s="20"/>
      <c r="H289" s="3">
        <f t="shared" si="48"/>
        <v>279</v>
      </c>
      <c r="I289" s="18">
        <f t="shared" si="54"/>
        <v>171020.86694744555</v>
      </c>
      <c r="J289" s="18">
        <f t="shared" si="49"/>
        <v>570.06955649148517</v>
      </c>
      <c r="K289" s="18">
        <f t="shared" si="50"/>
        <v>1817.0069208358125</v>
      </c>
      <c r="L289" s="18">
        <f t="shared" si="51"/>
        <v>169203.86002660973</v>
      </c>
      <c r="M289" s="19">
        <f t="shared" si="52"/>
        <v>2387.0764773272977</v>
      </c>
    </row>
    <row r="290" spans="1:13" x14ac:dyDescent="0.25">
      <c r="A290" s="3">
        <f>IF(B290&lt;&gt;"",280,"")</f>
        <v>280</v>
      </c>
      <c r="B290" s="18">
        <f t="shared" si="53"/>
        <v>112500.00000000341</v>
      </c>
      <c r="C290" s="18">
        <f t="shared" si="44"/>
        <v>375.00000000001137</v>
      </c>
      <c r="D290" s="18">
        <f t="shared" si="45"/>
        <v>1388.8888888888889</v>
      </c>
      <c r="E290" s="18">
        <f t="shared" si="46"/>
        <v>111111.11111111451</v>
      </c>
      <c r="F290" s="19">
        <f t="shared" si="47"/>
        <v>1763.8888888889003</v>
      </c>
      <c r="G290" s="20"/>
      <c r="H290" s="3">
        <f t="shared" si="48"/>
        <v>280</v>
      </c>
      <c r="I290" s="18">
        <f t="shared" si="54"/>
        <v>169203.86002660973</v>
      </c>
      <c r="J290" s="18">
        <f t="shared" si="49"/>
        <v>564.01286675536574</v>
      </c>
      <c r="K290" s="18">
        <f t="shared" si="50"/>
        <v>1823.0636105719318</v>
      </c>
      <c r="L290" s="18">
        <f t="shared" si="51"/>
        <v>167380.7964160378</v>
      </c>
      <c r="M290" s="19">
        <f t="shared" si="52"/>
        <v>2387.0764773272977</v>
      </c>
    </row>
    <row r="291" spans="1:13" x14ac:dyDescent="0.25">
      <c r="A291" s="3">
        <f>IF(B291&lt;&gt;"",281,"")</f>
        <v>281</v>
      </c>
      <c r="B291" s="18">
        <f t="shared" si="53"/>
        <v>111111.11111111451</v>
      </c>
      <c r="C291" s="18">
        <f t="shared" si="44"/>
        <v>370.37037037038175</v>
      </c>
      <c r="D291" s="18">
        <f t="shared" si="45"/>
        <v>1388.8888888888889</v>
      </c>
      <c r="E291" s="18">
        <f t="shared" si="46"/>
        <v>109722.22222222562</v>
      </c>
      <c r="F291" s="19">
        <f t="shared" si="47"/>
        <v>1759.2592592592707</v>
      </c>
      <c r="G291" s="20"/>
      <c r="H291" s="3">
        <f t="shared" si="48"/>
        <v>281</v>
      </c>
      <c r="I291" s="18">
        <f t="shared" si="54"/>
        <v>167380.7964160378</v>
      </c>
      <c r="J291" s="18">
        <f t="shared" si="49"/>
        <v>557.93598805345937</v>
      </c>
      <c r="K291" s="18">
        <f t="shared" si="50"/>
        <v>1829.1404892738383</v>
      </c>
      <c r="L291" s="18">
        <f t="shared" si="51"/>
        <v>165551.65592676395</v>
      </c>
      <c r="M291" s="19">
        <f t="shared" si="52"/>
        <v>2387.0764773272977</v>
      </c>
    </row>
    <row r="292" spans="1:13" x14ac:dyDescent="0.25">
      <c r="A292" s="3">
        <f>IF(B292&lt;&gt;"",282,"")</f>
        <v>282</v>
      </c>
      <c r="B292" s="18">
        <f t="shared" si="53"/>
        <v>109722.22222222562</v>
      </c>
      <c r="C292" s="18">
        <f t="shared" si="44"/>
        <v>365.74074074075207</v>
      </c>
      <c r="D292" s="18">
        <f t="shared" si="45"/>
        <v>1388.8888888888889</v>
      </c>
      <c r="E292" s="18">
        <f t="shared" si="46"/>
        <v>108333.33333333673</v>
      </c>
      <c r="F292" s="19">
        <f t="shared" si="47"/>
        <v>1754.6296296296409</v>
      </c>
      <c r="G292" s="20"/>
      <c r="H292" s="3">
        <f t="shared" si="48"/>
        <v>282</v>
      </c>
      <c r="I292" s="18">
        <f t="shared" si="54"/>
        <v>165551.65592676395</v>
      </c>
      <c r="J292" s="18">
        <f t="shared" si="49"/>
        <v>551.83885308921322</v>
      </c>
      <c r="K292" s="18">
        <f t="shared" si="50"/>
        <v>1835.2376242380844</v>
      </c>
      <c r="L292" s="18">
        <f t="shared" si="51"/>
        <v>163716.41830252588</v>
      </c>
      <c r="M292" s="19">
        <f t="shared" si="52"/>
        <v>2387.0764773272977</v>
      </c>
    </row>
    <row r="293" spans="1:13" x14ac:dyDescent="0.25">
      <c r="A293" s="3">
        <f>IF(B293&lt;&gt;"",283,"")</f>
        <v>283</v>
      </c>
      <c r="B293" s="18">
        <f t="shared" si="53"/>
        <v>108333.33333333673</v>
      </c>
      <c r="C293" s="18">
        <f t="shared" si="44"/>
        <v>361.11111111112245</v>
      </c>
      <c r="D293" s="18">
        <f t="shared" si="45"/>
        <v>1388.8888888888889</v>
      </c>
      <c r="E293" s="18">
        <f t="shared" si="46"/>
        <v>106944.44444444784</v>
      </c>
      <c r="F293" s="19">
        <f t="shared" si="47"/>
        <v>1750.0000000000114</v>
      </c>
      <c r="G293" s="20"/>
      <c r="H293" s="3">
        <f t="shared" si="48"/>
        <v>283</v>
      </c>
      <c r="I293" s="18">
        <f t="shared" si="54"/>
        <v>163716.41830252588</v>
      </c>
      <c r="J293" s="18">
        <f t="shared" si="49"/>
        <v>545.7213943417529</v>
      </c>
      <c r="K293" s="18">
        <f t="shared" si="50"/>
        <v>1841.3550829855449</v>
      </c>
      <c r="L293" s="18">
        <f t="shared" si="51"/>
        <v>161875.06321954035</v>
      </c>
      <c r="M293" s="19">
        <f t="shared" si="52"/>
        <v>2387.0764773272977</v>
      </c>
    </row>
    <row r="294" spans="1:13" x14ac:dyDescent="0.25">
      <c r="A294" s="3">
        <f>IF(B294&lt;&gt;"",284,"")</f>
        <v>284</v>
      </c>
      <c r="B294" s="18">
        <f t="shared" si="53"/>
        <v>106944.44444444784</v>
      </c>
      <c r="C294" s="18">
        <f t="shared" si="44"/>
        <v>356.48148148149284</v>
      </c>
      <c r="D294" s="18">
        <f t="shared" si="45"/>
        <v>1388.8888888888889</v>
      </c>
      <c r="E294" s="18">
        <f t="shared" si="46"/>
        <v>105555.55555555895</v>
      </c>
      <c r="F294" s="19">
        <f t="shared" si="47"/>
        <v>1745.3703703703818</v>
      </c>
      <c r="G294" s="20"/>
      <c r="H294" s="3">
        <f t="shared" si="48"/>
        <v>284</v>
      </c>
      <c r="I294" s="18">
        <f t="shared" si="54"/>
        <v>161875.06321954035</v>
      </c>
      <c r="J294" s="18">
        <f t="shared" si="49"/>
        <v>539.58354406513456</v>
      </c>
      <c r="K294" s="18">
        <f t="shared" si="50"/>
        <v>1847.4929332621632</v>
      </c>
      <c r="L294" s="18">
        <f t="shared" si="51"/>
        <v>160027.57028627818</v>
      </c>
      <c r="M294" s="19">
        <f t="shared" si="52"/>
        <v>2387.0764773272977</v>
      </c>
    </row>
    <row r="295" spans="1:13" x14ac:dyDescent="0.25">
      <c r="A295" s="3">
        <f>IF(B295&lt;&gt;"",285,"")</f>
        <v>285</v>
      </c>
      <c r="B295" s="18">
        <f t="shared" si="53"/>
        <v>105555.55555555895</v>
      </c>
      <c r="C295" s="18">
        <f t="shared" si="44"/>
        <v>351.85185185186316</v>
      </c>
      <c r="D295" s="18">
        <f t="shared" si="45"/>
        <v>1388.8888888888889</v>
      </c>
      <c r="E295" s="18">
        <f t="shared" si="46"/>
        <v>104166.66666667006</v>
      </c>
      <c r="F295" s="19">
        <f t="shared" si="47"/>
        <v>1740.740740740752</v>
      </c>
      <c r="G295" s="20"/>
      <c r="H295" s="3">
        <f t="shared" si="48"/>
        <v>285</v>
      </c>
      <c r="I295" s="18">
        <f t="shared" si="54"/>
        <v>160027.57028627818</v>
      </c>
      <c r="J295" s="18">
        <f t="shared" si="49"/>
        <v>533.42523428759398</v>
      </c>
      <c r="K295" s="18">
        <f t="shared" si="50"/>
        <v>1853.6512430397038</v>
      </c>
      <c r="L295" s="18">
        <f t="shared" si="51"/>
        <v>158173.91904323848</v>
      </c>
      <c r="M295" s="19">
        <f t="shared" si="52"/>
        <v>2387.0764773272977</v>
      </c>
    </row>
    <row r="296" spans="1:13" x14ac:dyDescent="0.25">
      <c r="A296" s="3">
        <f>IF(B296&lt;&gt;"",286,"")</f>
        <v>286</v>
      </c>
      <c r="B296" s="18">
        <f t="shared" si="53"/>
        <v>104166.66666667006</v>
      </c>
      <c r="C296" s="18">
        <f t="shared" si="44"/>
        <v>347.22222222223354</v>
      </c>
      <c r="D296" s="18">
        <f t="shared" si="45"/>
        <v>1388.8888888888889</v>
      </c>
      <c r="E296" s="18">
        <f t="shared" si="46"/>
        <v>102777.77777778117</v>
      </c>
      <c r="F296" s="19">
        <f t="shared" si="47"/>
        <v>1736.1111111111225</v>
      </c>
      <c r="G296" s="20"/>
      <c r="H296" s="3">
        <f t="shared" si="48"/>
        <v>286</v>
      </c>
      <c r="I296" s="18">
        <f t="shared" si="54"/>
        <v>158173.91904323848</v>
      </c>
      <c r="J296" s="18">
        <f t="shared" si="49"/>
        <v>527.24639681079498</v>
      </c>
      <c r="K296" s="18">
        <f t="shared" si="50"/>
        <v>1859.8300805165027</v>
      </c>
      <c r="L296" s="18">
        <f t="shared" si="51"/>
        <v>156314.08896272199</v>
      </c>
      <c r="M296" s="19">
        <f t="shared" si="52"/>
        <v>2387.0764773272977</v>
      </c>
    </row>
    <row r="297" spans="1:13" x14ac:dyDescent="0.25">
      <c r="A297" s="3">
        <f>IF(B297&lt;&gt;"",287,"")</f>
        <v>287</v>
      </c>
      <c r="B297" s="18">
        <f t="shared" si="53"/>
        <v>102777.77777778117</v>
      </c>
      <c r="C297" s="18">
        <f t="shared" si="44"/>
        <v>342.59259259260392</v>
      </c>
      <c r="D297" s="18">
        <f t="shared" si="45"/>
        <v>1388.8888888888889</v>
      </c>
      <c r="E297" s="18">
        <f t="shared" si="46"/>
        <v>101388.88888889228</v>
      </c>
      <c r="F297" s="19">
        <f t="shared" si="47"/>
        <v>1731.4814814814929</v>
      </c>
      <c r="G297" s="20"/>
      <c r="H297" s="3">
        <f t="shared" si="48"/>
        <v>287</v>
      </c>
      <c r="I297" s="18">
        <f t="shared" si="54"/>
        <v>156314.08896272199</v>
      </c>
      <c r="J297" s="18">
        <f t="shared" si="49"/>
        <v>521.04696320907328</v>
      </c>
      <c r="K297" s="18">
        <f t="shared" si="50"/>
        <v>1866.0295141182244</v>
      </c>
      <c r="L297" s="18">
        <f t="shared" si="51"/>
        <v>154448.05944860377</v>
      </c>
      <c r="M297" s="19">
        <f t="shared" si="52"/>
        <v>2387.0764773272977</v>
      </c>
    </row>
    <row r="298" spans="1:13" x14ac:dyDescent="0.25">
      <c r="A298" s="3">
        <f>IF(B298&lt;&gt;"",288,"")</f>
        <v>288</v>
      </c>
      <c r="B298" s="18">
        <f t="shared" si="53"/>
        <v>101388.88888889228</v>
      </c>
      <c r="C298" s="18">
        <f t="shared" si="44"/>
        <v>337.96296296297425</v>
      </c>
      <c r="D298" s="18">
        <f t="shared" si="45"/>
        <v>1388.8888888888889</v>
      </c>
      <c r="E298" s="18">
        <f t="shared" si="46"/>
        <v>100000.00000000339</v>
      </c>
      <c r="F298" s="19">
        <f t="shared" si="47"/>
        <v>1726.8518518518631</v>
      </c>
      <c r="G298" s="20"/>
      <c r="H298" s="3">
        <f t="shared" si="48"/>
        <v>288</v>
      </c>
      <c r="I298" s="18">
        <f t="shared" si="54"/>
        <v>154448.05944860377</v>
      </c>
      <c r="J298" s="18">
        <f t="shared" si="49"/>
        <v>514.82686482867928</v>
      </c>
      <c r="K298" s="18">
        <f t="shared" si="50"/>
        <v>1872.2496124986183</v>
      </c>
      <c r="L298" s="18">
        <f t="shared" si="51"/>
        <v>152575.80983610515</v>
      </c>
      <c r="M298" s="19">
        <f t="shared" si="52"/>
        <v>2387.0764773272977</v>
      </c>
    </row>
    <row r="299" spans="1:13" x14ac:dyDescent="0.25">
      <c r="A299" s="3">
        <f>IF(B299&lt;&gt;"",289,"")</f>
        <v>289</v>
      </c>
      <c r="B299" s="18">
        <f t="shared" si="53"/>
        <v>100000.00000000339</v>
      </c>
      <c r="C299" s="18">
        <f t="shared" si="44"/>
        <v>333.33333333334463</v>
      </c>
      <c r="D299" s="18">
        <f t="shared" si="45"/>
        <v>1388.8888888888889</v>
      </c>
      <c r="E299" s="18">
        <f t="shared" si="46"/>
        <v>98611.1111111145</v>
      </c>
      <c r="F299" s="19">
        <f t="shared" si="47"/>
        <v>1722.2222222222335</v>
      </c>
      <c r="G299" s="20"/>
      <c r="H299" s="3">
        <f t="shared" si="48"/>
        <v>289</v>
      </c>
      <c r="I299" s="18">
        <f t="shared" si="54"/>
        <v>152575.80983610515</v>
      </c>
      <c r="J299" s="18">
        <f t="shared" si="49"/>
        <v>508.58603278701713</v>
      </c>
      <c r="K299" s="18">
        <f t="shared" si="50"/>
        <v>1878.4904445402806</v>
      </c>
      <c r="L299" s="18">
        <f t="shared" si="51"/>
        <v>150697.31939156487</v>
      </c>
      <c r="M299" s="19">
        <f t="shared" si="52"/>
        <v>2387.0764773272977</v>
      </c>
    </row>
    <row r="300" spans="1:13" x14ac:dyDescent="0.25">
      <c r="A300" s="3">
        <f>IF(B300&lt;&gt;"",290,"")</f>
        <v>290</v>
      </c>
      <c r="B300" s="18">
        <f t="shared" si="53"/>
        <v>98611.1111111145</v>
      </c>
      <c r="C300" s="18">
        <f t="shared" si="44"/>
        <v>328.70370370371501</v>
      </c>
      <c r="D300" s="18">
        <f t="shared" si="45"/>
        <v>1388.8888888888889</v>
      </c>
      <c r="E300" s="18">
        <f t="shared" si="46"/>
        <v>97222.22222222561</v>
      </c>
      <c r="F300" s="19">
        <f t="shared" si="47"/>
        <v>1717.592592592604</v>
      </c>
      <c r="G300" s="20"/>
      <c r="H300" s="3">
        <f t="shared" si="48"/>
        <v>290</v>
      </c>
      <c r="I300" s="18">
        <f t="shared" si="54"/>
        <v>150697.31939156487</v>
      </c>
      <c r="J300" s="18">
        <f t="shared" si="49"/>
        <v>502.32439797188295</v>
      </c>
      <c r="K300" s="18">
        <f t="shared" si="50"/>
        <v>1884.7520793554147</v>
      </c>
      <c r="L300" s="18">
        <f t="shared" si="51"/>
        <v>148812.56731220946</v>
      </c>
      <c r="M300" s="19">
        <f t="shared" si="52"/>
        <v>2387.0764773272977</v>
      </c>
    </row>
    <row r="301" spans="1:13" x14ac:dyDescent="0.25">
      <c r="A301" s="3">
        <f>IF(B301&lt;&gt;"",291,"")</f>
        <v>291</v>
      </c>
      <c r="B301" s="18">
        <f t="shared" si="53"/>
        <v>97222.22222222561</v>
      </c>
      <c r="C301" s="18">
        <f t="shared" si="44"/>
        <v>324.07407407408539</v>
      </c>
      <c r="D301" s="18">
        <f t="shared" si="45"/>
        <v>1388.8888888888889</v>
      </c>
      <c r="E301" s="18">
        <f t="shared" si="46"/>
        <v>95833.333333336719</v>
      </c>
      <c r="F301" s="19">
        <f t="shared" si="47"/>
        <v>1712.9629629629744</v>
      </c>
      <c r="G301" s="20"/>
      <c r="H301" s="3">
        <f t="shared" si="48"/>
        <v>291</v>
      </c>
      <c r="I301" s="18">
        <f t="shared" si="54"/>
        <v>148812.56731220946</v>
      </c>
      <c r="J301" s="18">
        <f t="shared" si="49"/>
        <v>496.0418910406982</v>
      </c>
      <c r="K301" s="18">
        <f t="shared" si="50"/>
        <v>1891.0345862865995</v>
      </c>
      <c r="L301" s="18">
        <f t="shared" si="51"/>
        <v>146921.53272592285</v>
      </c>
      <c r="M301" s="19">
        <f t="shared" si="52"/>
        <v>2387.0764773272977</v>
      </c>
    </row>
    <row r="302" spans="1:13" x14ac:dyDescent="0.25">
      <c r="A302" s="3">
        <f>IF(B302&lt;&gt;"",292,"")</f>
        <v>292</v>
      </c>
      <c r="B302" s="18">
        <f t="shared" si="53"/>
        <v>95833.333333336719</v>
      </c>
      <c r="C302" s="18">
        <f t="shared" si="44"/>
        <v>319.44444444445577</v>
      </c>
      <c r="D302" s="18">
        <f t="shared" si="45"/>
        <v>1388.8888888888889</v>
      </c>
      <c r="E302" s="18">
        <f t="shared" si="46"/>
        <v>94444.444444447829</v>
      </c>
      <c r="F302" s="19">
        <f t="shared" si="47"/>
        <v>1708.3333333333446</v>
      </c>
      <c r="G302" s="20"/>
      <c r="H302" s="3">
        <f t="shared" si="48"/>
        <v>292</v>
      </c>
      <c r="I302" s="18">
        <f t="shared" si="54"/>
        <v>146921.53272592285</v>
      </c>
      <c r="J302" s="18">
        <f t="shared" si="49"/>
        <v>489.73844241974285</v>
      </c>
      <c r="K302" s="18">
        <f t="shared" si="50"/>
        <v>1897.3380349075549</v>
      </c>
      <c r="L302" s="18">
        <f t="shared" si="51"/>
        <v>145024.19469101529</v>
      </c>
      <c r="M302" s="19">
        <f t="shared" si="52"/>
        <v>2387.0764773272977</v>
      </c>
    </row>
    <row r="303" spans="1:13" x14ac:dyDescent="0.25">
      <c r="A303" s="3">
        <f>IF(B303&lt;&gt;"",293,"")</f>
        <v>293</v>
      </c>
      <c r="B303" s="18">
        <f t="shared" si="53"/>
        <v>94444.444444447829</v>
      </c>
      <c r="C303" s="18">
        <f t="shared" si="44"/>
        <v>314.81481481482609</v>
      </c>
      <c r="D303" s="18">
        <f t="shared" si="45"/>
        <v>1388.8888888888889</v>
      </c>
      <c r="E303" s="18">
        <f t="shared" si="46"/>
        <v>93055.555555558938</v>
      </c>
      <c r="F303" s="19">
        <f t="shared" si="47"/>
        <v>1703.7037037037151</v>
      </c>
      <c r="G303" s="20"/>
      <c r="H303" s="3">
        <f t="shared" si="48"/>
        <v>293</v>
      </c>
      <c r="I303" s="18">
        <f t="shared" si="54"/>
        <v>145024.19469101529</v>
      </c>
      <c r="J303" s="18">
        <f t="shared" si="49"/>
        <v>483.41398230338433</v>
      </c>
      <c r="K303" s="18">
        <f t="shared" si="50"/>
        <v>1903.6624950239134</v>
      </c>
      <c r="L303" s="18">
        <f t="shared" si="51"/>
        <v>143120.53219599137</v>
      </c>
      <c r="M303" s="19">
        <f t="shared" si="52"/>
        <v>2387.0764773272977</v>
      </c>
    </row>
    <row r="304" spans="1:13" x14ac:dyDescent="0.25">
      <c r="A304" s="3">
        <f>IF(B304&lt;&gt;"",294,"")</f>
        <v>294</v>
      </c>
      <c r="B304" s="18">
        <f t="shared" si="53"/>
        <v>93055.555555558938</v>
      </c>
      <c r="C304" s="18">
        <f t="shared" si="44"/>
        <v>310.18518518519647</v>
      </c>
      <c r="D304" s="18">
        <f t="shared" si="45"/>
        <v>1388.8888888888889</v>
      </c>
      <c r="E304" s="18">
        <f t="shared" si="46"/>
        <v>91666.666666670048</v>
      </c>
      <c r="F304" s="19">
        <f t="shared" si="47"/>
        <v>1699.0740740740853</v>
      </c>
      <c r="G304" s="20"/>
      <c r="H304" s="3">
        <f t="shared" si="48"/>
        <v>294</v>
      </c>
      <c r="I304" s="18">
        <f t="shared" si="54"/>
        <v>143120.53219599137</v>
      </c>
      <c r="J304" s="18">
        <f t="shared" si="49"/>
        <v>477.06844065330461</v>
      </c>
      <c r="K304" s="18">
        <f t="shared" si="50"/>
        <v>1910.008036673993</v>
      </c>
      <c r="L304" s="18">
        <f t="shared" si="51"/>
        <v>141210.52415931737</v>
      </c>
      <c r="M304" s="19">
        <f t="shared" si="52"/>
        <v>2387.0764773272977</v>
      </c>
    </row>
    <row r="305" spans="1:13" x14ac:dyDescent="0.25">
      <c r="A305" s="3">
        <f>IF(B305&lt;&gt;"",295,"")</f>
        <v>295</v>
      </c>
      <c r="B305" s="18">
        <f t="shared" si="53"/>
        <v>91666.666666670048</v>
      </c>
      <c r="C305" s="18">
        <f t="shared" si="44"/>
        <v>305.55555555556685</v>
      </c>
      <c r="D305" s="18">
        <f t="shared" si="45"/>
        <v>1388.8888888888889</v>
      </c>
      <c r="E305" s="18">
        <f t="shared" si="46"/>
        <v>90277.777777781157</v>
      </c>
      <c r="F305" s="19">
        <f t="shared" si="47"/>
        <v>1694.4444444444557</v>
      </c>
      <c r="G305" s="20"/>
      <c r="H305" s="3">
        <f t="shared" si="48"/>
        <v>295</v>
      </c>
      <c r="I305" s="18">
        <f t="shared" si="54"/>
        <v>141210.52415931737</v>
      </c>
      <c r="J305" s="18">
        <f t="shared" si="49"/>
        <v>470.70174719772461</v>
      </c>
      <c r="K305" s="18">
        <f t="shared" si="50"/>
        <v>1916.374730129573</v>
      </c>
      <c r="L305" s="18">
        <f t="shared" si="51"/>
        <v>139294.14942918779</v>
      </c>
      <c r="M305" s="19">
        <f t="shared" si="52"/>
        <v>2387.0764773272977</v>
      </c>
    </row>
    <row r="306" spans="1:13" x14ac:dyDescent="0.25">
      <c r="A306" s="3">
        <f>IF(B306&lt;&gt;"",296,"")</f>
        <v>296</v>
      </c>
      <c r="B306" s="18">
        <f t="shared" si="53"/>
        <v>90277.777777781157</v>
      </c>
      <c r="C306" s="18">
        <f t="shared" si="44"/>
        <v>300.92592592593718</v>
      </c>
      <c r="D306" s="18">
        <f t="shared" si="45"/>
        <v>1388.8888888888889</v>
      </c>
      <c r="E306" s="18">
        <f t="shared" si="46"/>
        <v>88888.888888892267</v>
      </c>
      <c r="F306" s="19">
        <f t="shared" si="47"/>
        <v>1689.8148148148261</v>
      </c>
      <c r="G306" s="20"/>
      <c r="H306" s="3">
        <f t="shared" si="48"/>
        <v>296</v>
      </c>
      <c r="I306" s="18">
        <f t="shared" si="54"/>
        <v>139294.14942918779</v>
      </c>
      <c r="J306" s="18">
        <f t="shared" si="49"/>
        <v>464.31383143062595</v>
      </c>
      <c r="K306" s="18">
        <f t="shared" si="50"/>
        <v>1922.7626458966718</v>
      </c>
      <c r="L306" s="18">
        <f t="shared" si="51"/>
        <v>137371.38678329112</v>
      </c>
      <c r="M306" s="19">
        <f t="shared" si="52"/>
        <v>2387.0764773272977</v>
      </c>
    </row>
    <row r="307" spans="1:13" x14ac:dyDescent="0.25">
      <c r="A307" s="3">
        <f>IF(B307&lt;&gt;"",297,"")</f>
        <v>297</v>
      </c>
      <c r="B307" s="18">
        <f t="shared" si="53"/>
        <v>88888.888888892267</v>
      </c>
      <c r="C307" s="18">
        <f t="shared" si="44"/>
        <v>296.29629629630756</v>
      </c>
      <c r="D307" s="18">
        <f t="shared" si="45"/>
        <v>1388.8888888888889</v>
      </c>
      <c r="E307" s="18">
        <f t="shared" si="46"/>
        <v>87500.000000003376</v>
      </c>
      <c r="F307" s="19">
        <f t="shared" si="47"/>
        <v>1685.1851851851966</v>
      </c>
      <c r="G307" s="20"/>
      <c r="H307" s="3">
        <f t="shared" si="48"/>
        <v>297</v>
      </c>
      <c r="I307" s="18">
        <f t="shared" si="54"/>
        <v>137371.38678329112</v>
      </c>
      <c r="J307" s="18">
        <f t="shared" si="49"/>
        <v>457.90462261097042</v>
      </c>
      <c r="K307" s="18">
        <f t="shared" si="50"/>
        <v>1929.1718547163273</v>
      </c>
      <c r="L307" s="18">
        <f t="shared" si="51"/>
        <v>135442.2149285748</v>
      </c>
      <c r="M307" s="19">
        <f t="shared" si="52"/>
        <v>2387.0764773272977</v>
      </c>
    </row>
    <row r="308" spans="1:13" x14ac:dyDescent="0.25">
      <c r="A308" s="3">
        <f>IF(B308&lt;&gt;"",298,"")</f>
        <v>298</v>
      </c>
      <c r="B308" s="18">
        <f t="shared" si="53"/>
        <v>87500.000000003376</v>
      </c>
      <c r="C308" s="18">
        <f t="shared" si="44"/>
        <v>291.66666666667794</v>
      </c>
      <c r="D308" s="18">
        <f t="shared" si="45"/>
        <v>1388.8888888888889</v>
      </c>
      <c r="E308" s="18">
        <f t="shared" si="46"/>
        <v>86111.111111114486</v>
      </c>
      <c r="F308" s="19">
        <f t="shared" si="47"/>
        <v>1680.5555555555668</v>
      </c>
      <c r="G308" s="20"/>
      <c r="H308" s="3">
        <f t="shared" si="48"/>
        <v>298</v>
      </c>
      <c r="I308" s="18">
        <f t="shared" si="54"/>
        <v>135442.2149285748</v>
      </c>
      <c r="J308" s="18">
        <f t="shared" si="49"/>
        <v>451.47404976191598</v>
      </c>
      <c r="K308" s="18">
        <f t="shared" si="50"/>
        <v>1935.6024275653817</v>
      </c>
      <c r="L308" s="18">
        <f t="shared" si="51"/>
        <v>133506.61250100943</v>
      </c>
      <c r="M308" s="19">
        <f t="shared" si="52"/>
        <v>2387.0764773272977</v>
      </c>
    </row>
    <row r="309" spans="1:13" x14ac:dyDescent="0.25">
      <c r="A309" s="3">
        <f>IF(B309&lt;&gt;"",299,"")</f>
        <v>299</v>
      </c>
      <c r="B309" s="18">
        <f t="shared" si="53"/>
        <v>86111.111111114486</v>
      </c>
      <c r="C309" s="18">
        <f t="shared" si="44"/>
        <v>287.03703703704826</v>
      </c>
      <c r="D309" s="18">
        <f t="shared" si="45"/>
        <v>1388.8888888888889</v>
      </c>
      <c r="E309" s="18">
        <f t="shared" si="46"/>
        <v>84722.222222225595</v>
      </c>
      <c r="F309" s="19">
        <f t="shared" si="47"/>
        <v>1675.9259259259372</v>
      </c>
      <c r="G309" s="20"/>
      <c r="H309" s="3">
        <f t="shared" si="48"/>
        <v>299</v>
      </c>
      <c r="I309" s="18">
        <f t="shared" si="54"/>
        <v>133506.61250100943</v>
      </c>
      <c r="J309" s="18">
        <f t="shared" si="49"/>
        <v>445.02204167003146</v>
      </c>
      <c r="K309" s="18">
        <f t="shared" si="50"/>
        <v>1942.0544356572661</v>
      </c>
      <c r="L309" s="18">
        <f t="shared" si="51"/>
        <v>131564.55806535215</v>
      </c>
      <c r="M309" s="19">
        <f t="shared" si="52"/>
        <v>2387.0764773272977</v>
      </c>
    </row>
    <row r="310" spans="1:13" x14ac:dyDescent="0.25">
      <c r="A310" s="3">
        <f>IF(B310&lt;&gt;"",300,"")</f>
        <v>300</v>
      </c>
      <c r="B310" s="18">
        <f t="shared" si="53"/>
        <v>84722.222222225595</v>
      </c>
      <c r="C310" s="18">
        <f t="shared" si="44"/>
        <v>282.40740740741865</v>
      </c>
      <c r="D310" s="18">
        <f t="shared" si="45"/>
        <v>1388.8888888888889</v>
      </c>
      <c r="E310" s="18">
        <f t="shared" si="46"/>
        <v>83333.333333336705</v>
      </c>
      <c r="F310" s="19">
        <f t="shared" si="47"/>
        <v>1671.2962962963074</v>
      </c>
      <c r="G310" s="20"/>
      <c r="H310" s="3">
        <f t="shared" si="48"/>
        <v>300</v>
      </c>
      <c r="I310" s="18">
        <f t="shared" si="54"/>
        <v>131564.55806535215</v>
      </c>
      <c r="J310" s="18">
        <f t="shared" si="49"/>
        <v>438.54852688450711</v>
      </c>
      <c r="K310" s="18">
        <f t="shared" si="50"/>
        <v>1948.5279504427906</v>
      </c>
      <c r="L310" s="18">
        <f t="shared" si="51"/>
        <v>129616.03011490936</v>
      </c>
      <c r="M310" s="19">
        <f t="shared" si="52"/>
        <v>2387.0764773272977</v>
      </c>
    </row>
    <row r="311" spans="1:13" x14ac:dyDescent="0.25">
      <c r="A311" s="3">
        <f>IF(B311&lt;&gt;"",301,"")</f>
        <v>301</v>
      </c>
      <c r="B311" s="18">
        <f t="shared" si="53"/>
        <v>83333.333333336705</v>
      </c>
      <c r="C311" s="18">
        <f t="shared" si="44"/>
        <v>277.77777777778903</v>
      </c>
      <c r="D311" s="18">
        <f t="shared" si="45"/>
        <v>1388.8888888888889</v>
      </c>
      <c r="E311" s="18">
        <f t="shared" si="46"/>
        <v>81944.444444447814</v>
      </c>
      <c r="F311" s="19">
        <f t="shared" si="47"/>
        <v>1666.6666666666779</v>
      </c>
      <c r="G311" s="20"/>
      <c r="H311" s="3">
        <f t="shared" si="48"/>
        <v>301</v>
      </c>
      <c r="I311" s="18">
        <f t="shared" si="54"/>
        <v>129616.03011490936</v>
      </c>
      <c r="J311" s="18">
        <f t="shared" si="49"/>
        <v>432.05343371636451</v>
      </c>
      <c r="K311" s="18">
        <f t="shared" si="50"/>
        <v>1955.0230436109332</v>
      </c>
      <c r="L311" s="18">
        <f t="shared" si="51"/>
        <v>127661.00707129843</v>
      </c>
      <c r="M311" s="19">
        <f t="shared" si="52"/>
        <v>2387.0764773272977</v>
      </c>
    </row>
    <row r="312" spans="1:13" x14ac:dyDescent="0.25">
      <c r="A312" s="3">
        <f>IF(B312&lt;&gt;"",302,"")</f>
        <v>302</v>
      </c>
      <c r="B312" s="18">
        <f t="shared" si="53"/>
        <v>81944.444444447814</v>
      </c>
      <c r="C312" s="18">
        <f t="shared" si="44"/>
        <v>273.14814814815935</v>
      </c>
      <c r="D312" s="18">
        <f t="shared" si="45"/>
        <v>1388.8888888888889</v>
      </c>
      <c r="E312" s="18">
        <f t="shared" si="46"/>
        <v>80555.555555558924</v>
      </c>
      <c r="F312" s="19">
        <f t="shared" si="47"/>
        <v>1662.0370370370483</v>
      </c>
      <c r="G312" s="20"/>
      <c r="H312" s="3">
        <f t="shared" si="48"/>
        <v>302</v>
      </c>
      <c r="I312" s="18">
        <f t="shared" si="54"/>
        <v>127661.00707129843</v>
      </c>
      <c r="J312" s="18">
        <f t="shared" si="49"/>
        <v>425.53669023766139</v>
      </c>
      <c r="K312" s="18">
        <f t="shared" si="50"/>
        <v>1961.5397870896363</v>
      </c>
      <c r="L312" s="18">
        <f t="shared" si="51"/>
        <v>125699.46728420879</v>
      </c>
      <c r="M312" s="19">
        <f t="shared" si="52"/>
        <v>2387.0764773272977</v>
      </c>
    </row>
    <row r="313" spans="1:13" x14ac:dyDescent="0.25">
      <c r="A313" s="3">
        <f>IF(B313&lt;&gt;"",303,"")</f>
        <v>303</v>
      </c>
      <c r="B313" s="18">
        <f t="shared" si="53"/>
        <v>80555.555555558924</v>
      </c>
      <c r="C313" s="18">
        <f t="shared" si="44"/>
        <v>268.51851851852979</v>
      </c>
      <c r="D313" s="18">
        <f t="shared" si="45"/>
        <v>1388.8888888888889</v>
      </c>
      <c r="E313" s="18">
        <f t="shared" si="46"/>
        <v>79166.666666670033</v>
      </c>
      <c r="F313" s="19">
        <f t="shared" si="47"/>
        <v>1657.4074074074188</v>
      </c>
      <c r="G313" s="20"/>
      <c r="H313" s="3">
        <f t="shared" si="48"/>
        <v>303</v>
      </c>
      <c r="I313" s="18">
        <f t="shared" si="54"/>
        <v>125699.46728420879</v>
      </c>
      <c r="J313" s="18">
        <f t="shared" si="49"/>
        <v>418.99822428069598</v>
      </c>
      <c r="K313" s="18">
        <f t="shared" si="50"/>
        <v>1968.0782530466017</v>
      </c>
      <c r="L313" s="18">
        <f t="shared" si="51"/>
        <v>123731.38903116219</v>
      </c>
      <c r="M313" s="19">
        <f t="shared" si="52"/>
        <v>2387.0764773272977</v>
      </c>
    </row>
    <row r="314" spans="1:13" x14ac:dyDescent="0.25">
      <c r="A314" s="3">
        <f>IF(B314&lt;&gt;"",304,"")</f>
        <v>304</v>
      </c>
      <c r="B314" s="18">
        <f t="shared" si="53"/>
        <v>79166.666666670033</v>
      </c>
      <c r="C314" s="18">
        <f t="shared" si="44"/>
        <v>263.88888888890011</v>
      </c>
      <c r="D314" s="18">
        <f t="shared" si="45"/>
        <v>1388.8888888888889</v>
      </c>
      <c r="E314" s="18">
        <f t="shared" si="46"/>
        <v>77777.777777781143</v>
      </c>
      <c r="F314" s="19">
        <f t="shared" si="47"/>
        <v>1652.777777777789</v>
      </c>
      <c r="G314" s="20"/>
      <c r="H314" s="3">
        <f t="shared" si="48"/>
        <v>304</v>
      </c>
      <c r="I314" s="18">
        <f t="shared" si="54"/>
        <v>123731.38903116219</v>
      </c>
      <c r="J314" s="18">
        <f t="shared" si="49"/>
        <v>412.43796343720732</v>
      </c>
      <c r="K314" s="18">
        <f t="shared" si="50"/>
        <v>1974.6385138900903</v>
      </c>
      <c r="L314" s="18">
        <f t="shared" si="51"/>
        <v>121756.7505172721</v>
      </c>
      <c r="M314" s="19">
        <f t="shared" si="52"/>
        <v>2387.0764773272977</v>
      </c>
    </row>
    <row r="315" spans="1:13" x14ac:dyDescent="0.25">
      <c r="A315" s="3">
        <f>IF(B315&lt;&gt;"",305,"")</f>
        <v>305</v>
      </c>
      <c r="B315" s="18">
        <f t="shared" si="53"/>
        <v>77777.777777781143</v>
      </c>
      <c r="C315" s="18">
        <f t="shared" si="44"/>
        <v>259.25925925927049</v>
      </c>
      <c r="D315" s="18">
        <f t="shared" si="45"/>
        <v>1388.8888888888889</v>
      </c>
      <c r="E315" s="18">
        <f t="shared" si="46"/>
        <v>76388.888888892252</v>
      </c>
      <c r="F315" s="19">
        <f t="shared" si="47"/>
        <v>1648.1481481481594</v>
      </c>
      <c r="G315" s="20"/>
      <c r="H315" s="3">
        <f t="shared" si="48"/>
        <v>305</v>
      </c>
      <c r="I315" s="18">
        <f t="shared" si="54"/>
        <v>121756.7505172721</v>
      </c>
      <c r="J315" s="18">
        <f t="shared" si="49"/>
        <v>405.85583505757364</v>
      </c>
      <c r="K315" s="18">
        <f t="shared" si="50"/>
        <v>1981.2206422697241</v>
      </c>
      <c r="L315" s="18">
        <f t="shared" si="51"/>
        <v>119775.52987500238</v>
      </c>
      <c r="M315" s="19">
        <f t="shared" si="52"/>
        <v>2387.0764773272977</v>
      </c>
    </row>
    <row r="316" spans="1:13" x14ac:dyDescent="0.25">
      <c r="A316" s="3">
        <f>IF(B316&lt;&gt;"",306,"")</f>
        <v>306</v>
      </c>
      <c r="B316" s="18">
        <f t="shared" si="53"/>
        <v>76388.888888892252</v>
      </c>
      <c r="C316" s="18">
        <f t="shared" si="44"/>
        <v>254.62962962964085</v>
      </c>
      <c r="D316" s="18">
        <f t="shared" si="45"/>
        <v>1388.8888888888889</v>
      </c>
      <c r="E316" s="18">
        <f t="shared" si="46"/>
        <v>75000.000000003361</v>
      </c>
      <c r="F316" s="19">
        <f t="shared" si="47"/>
        <v>1643.5185185185298</v>
      </c>
      <c r="G316" s="20"/>
      <c r="H316" s="3">
        <f t="shared" si="48"/>
        <v>306</v>
      </c>
      <c r="I316" s="18">
        <f t="shared" si="54"/>
        <v>119775.52987500238</v>
      </c>
      <c r="J316" s="18">
        <f t="shared" si="49"/>
        <v>399.2517662500079</v>
      </c>
      <c r="K316" s="18">
        <f t="shared" si="50"/>
        <v>1987.8247110772897</v>
      </c>
      <c r="L316" s="18">
        <f t="shared" si="51"/>
        <v>117787.70516392509</v>
      </c>
      <c r="M316" s="19">
        <f t="shared" si="52"/>
        <v>2387.0764773272977</v>
      </c>
    </row>
    <row r="317" spans="1:13" x14ac:dyDescent="0.25">
      <c r="A317" s="3">
        <f>IF(B317&lt;&gt;"",307,"")</f>
        <v>307</v>
      </c>
      <c r="B317" s="18">
        <f t="shared" si="53"/>
        <v>75000.000000003361</v>
      </c>
      <c r="C317" s="18">
        <f t="shared" si="44"/>
        <v>250.00000000001123</v>
      </c>
      <c r="D317" s="18">
        <f t="shared" si="45"/>
        <v>1388.8888888888889</v>
      </c>
      <c r="E317" s="18">
        <f t="shared" si="46"/>
        <v>73611.111111114471</v>
      </c>
      <c r="F317" s="19">
        <f t="shared" si="47"/>
        <v>1638.8888888889001</v>
      </c>
      <c r="G317" s="20"/>
      <c r="H317" s="3">
        <f t="shared" si="48"/>
        <v>307</v>
      </c>
      <c r="I317" s="18">
        <f t="shared" si="54"/>
        <v>117787.70516392509</v>
      </c>
      <c r="J317" s="18">
        <f t="shared" si="49"/>
        <v>392.62568387975028</v>
      </c>
      <c r="K317" s="18">
        <f t="shared" si="50"/>
        <v>1994.4507934475473</v>
      </c>
      <c r="L317" s="18">
        <f t="shared" si="51"/>
        <v>115793.25437047755</v>
      </c>
      <c r="M317" s="19">
        <f t="shared" si="52"/>
        <v>2387.0764773272977</v>
      </c>
    </row>
    <row r="318" spans="1:13" x14ac:dyDescent="0.25">
      <c r="A318" s="3">
        <f>IF(B318&lt;&gt;"",308,"")</f>
        <v>308</v>
      </c>
      <c r="B318" s="18">
        <f t="shared" si="53"/>
        <v>73611.111111114471</v>
      </c>
      <c r="C318" s="18">
        <f t="shared" si="44"/>
        <v>245.37037037038158</v>
      </c>
      <c r="D318" s="18">
        <f t="shared" si="45"/>
        <v>1388.8888888888889</v>
      </c>
      <c r="E318" s="18">
        <f t="shared" si="46"/>
        <v>72222.22222222558</v>
      </c>
      <c r="F318" s="19">
        <f t="shared" si="47"/>
        <v>1634.2592592592705</v>
      </c>
      <c r="G318" s="20"/>
      <c r="H318" s="3">
        <f t="shared" si="48"/>
        <v>308</v>
      </c>
      <c r="I318" s="18">
        <f t="shared" si="54"/>
        <v>115793.25437047755</v>
      </c>
      <c r="J318" s="18">
        <f t="shared" si="49"/>
        <v>385.97751456825853</v>
      </c>
      <c r="K318" s="18">
        <f t="shared" si="50"/>
        <v>2001.0989627590391</v>
      </c>
      <c r="L318" s="18">
        <f t="shared" si="51"/>
        <v>113792.1554077185</v>
      </c>
      <c r="M318" s="19">
        <f t="shared" si="52"/>
        <v>2387.0764773272977</v>
      </c>
    </row>
    <row r="319" spans="1:13" x14ac:dyDescent="0.25">
      <c r="A319" s="3">
        <f>IF(B319&lt;&gt;"",309,"")</f>
        <v>309</v>
      </c>
      <c r="B319" s="18">
        <f t="shared" si="53"/>
        <v>72222.22222222558</v>
      </c>
      <c r="C319" s="18">
        <f t="shared" si="44"/>
        <v>240.74074074075193</v>
      </c>
      <c r="D319" s="18">
        <f t="shared" si="45"/>
        <v>1388.8888888888889</v>
      </c>
      <c r="E319" s="18">
        <f t="shared" si="46"/>
        <v>70833.33333333669</v>
      </c>
      <c r="F319" s="19">
        <f t="shared" si="47"/>
        <v>1629.6296296296409</v>
      </c>
      <c r="G319" s="20"/>
      <c r="H319" s="3">
        <f t="shared" si="48"/>
        <v>309</v>
      </c>
      <c r="I319" s="18">
        <f t="shared" si="54"/>
        <v>113792.1554077185</v>
      </c>
      <c r="J319" s="18">
        <f t="shared" si="49"/>
        <v>379.30718469239497</v>
      </c>
      <c r="K319" s="18">
        <f t="shared" si="50"/>
        <v>2007.7692926349027</v>
      </c>
      <c r="L319" s="18">
        <f t="shared" si="51"/>
        <v>111784.3861150836</v>
      </c>
      <c r="M319" s="19">
        <f t="shared" si="52"/>
        <v>2387.0764773272977</v>
      </c>
    </row>
    <row r="320" spans="1:13" x14ac:dyDescent="0.25">
      <c r="A320" s="3">
        <f>IF(B320&lt;&gt;"",310,"")</f>
        <v>310</v>
      </c>
      <c r="B320" s="18">
        <f t="shared" si="53"/>
        <v>70833.33333333669</v>
      </c>
      <c r="C320" s="18">
        <f t="shared" si="44"/>
        <v>236.11111111112231</v>
      </c>
      <c r="D320" s="18">
        <f t="shared" si="45"/>
        <v>1388.8888888888889</v>
      </c>
      <c r="E320" s="18">
        <f t="shared" si="46"/>
        <v>69444.444444447799</v>
      </c>
      <c r="F320" s="19">
        <f t="shared" si="47"/>
        <v>1625.0000000000111</v>
      </c>
      <c r="G320" s="20"/>
      <c r="H320" s="3">
        <f t="shared" si="48"/>
        <v>310</v>
      </c>
      <c r="I320" s="18">
        <f t="shared" si="54"/>
        <v>111784.3861150836</v>
      </c>
      <c r="J320" s="18">
        <f t="shared" si="49"/>
        <v>372.61462038361202</v>
      </c>
      <c r="K320" s="18">
        <f t="shared" si="50"/>
        <v>2014.4618569436857</v>
      </c>
      <c r="L320" s="18">
        <f t="shared" si="51"/>
        <v>109769.92425813992</v>
      </c>
      <c r="M320" s="19">
        <f t="shared" si="52"/>
        <v>2387.0764773272977</v>
      </c>
    </row>
    <row r="321" spans="1:13" x14ac:dyDescent="0.25">
      <c r="A321" s="3">
        <f>IF(B321&lt;&gt;"",311,"")</f>
        <v>311</v>
      </c>
      <c r="B321" s="18">
        <f t="shared" si="53"/>
        <v>69444.444444447799</v>
      </c>
      <c r="C321" s="18">
        <f t="shared" si="44"/>
        <v>231.48148148149266</v>
      </c>
      <c r="D321" s="18">
        <f t="shared" si="45"/>
        <v>1388.8888888888889</v>
      </c>
      <c r="E321" s="18">
        <f t="shared" si="46"/>
        <v>68055.555555558909</v>
      </c>
      <c r="F321" s="19">
        <f t="shared" si="47"/>
        <v>1620.3703703703816</v>
      </c>
      <c r="G321" s="20"/>
      <c r="H321" s="3">
        <f t="shared" si="48"/>
        <v>311</v>
      </c>
      <c r="I321" s="18">
        <f t="shared" si="54"/>
        <v>109769.92425813992</v>
      </c>
      <c r="J321" s="18">
        <f t="shared" si="49"/>
        <v>365.89974752713306</v>
      </c>
      <c r="K321" s="18">
        <f t="shared" si="50"/>
        <v>2021.1767298001646</v>
      </c>
      <c r="L321" s="18">
        <f t="shared" si="51"/>
        <v>107748.74752833975</v>
      </c>
      <c r="M321" s="19">
        <f t="shared" si="52"/>
        <v>2387.0764773272977</v>
      </c>
    </row>
    <row r="322" spans="1:13" x14ac:dyDescent="0.25">
      <c r="A322" s="3">
        <f>IF(B322&lt;&gt;"",312,"")</f>
        <v>312</v>
      </c>
      <c r="B322" s="18">
        <f t="shared" si="53"/>
        <v>68055.555555558909</v>
      </c>
      <c r="C322" s="18">
        <f t="shared" si="44"/>
        <v>226.85185185186302</v>
      </c>
      <c r="D322" s="18">
        <f t="shared" si="45"/>
        <v>1388.8888888888889</v>
      </c>
      <c r="E322" s="18">
        <f t="shared" si="46"/>
        <v>66666.666666670018</v>
      </c>
      <c r="F322" s="19">
        <f t="shared" si="47"/>
        <v>1615.740740740752</v>
      </c>
      <c r="G322" s="20"/>
      <c r="H322" s="3">
        <f t="shared" si="48"/>
        <v>312</v>
      </c>
      <c r="I322" s="18">
        <f t="shared" si="54"/>
        <v>107748.74752833975</v>
      </c>
      <c r="J322" s="18">
        <f t="shared" si="49"/>
        <v>359.16249176113251</v>
      </c>
      <c r="K322" s="18">
        <f t="shared" si="50"/>
        <v>2027.9139855661651</v>
      </c>
      <c r="L322" s="18">
        <f t="shared" si="51"/>
        <v>105720.83354277359</v>
      </c>
      <c r="M322" s="19">
        <f t="shared" si="52"/>
        <v>2387.0764773272977</v>
      </c>
    </row>
    <row r="323" spans="1:13" x14ac:dyDescent="0.25">
      <c r="A323" s="3">
        <f>IF(B323&lt;&gt;"",313,"")</f>
        <v>313</v>
      </c>
      <c r="B323" s="18">
        <f t="shared" si="53"/>
        <v>66666.666666670018</v>
      </c>
      <c r="C323" s="18">
        <f t="shared" si="44"/>
        <v>222.2222222222334</v>
      </c>
      <c r="D323" s="18">
        <f t="shared" si="45"/>
        <v>1388.8888888888889</v>
      </c>
      <c r="E323" s="18">
        <f t="shared" si="46"/>
        <v>65277.777777781128</v>
      </c>
      <c r="F323" s="19">
        <f t="shared" si="47"/>
        <v>1611.1111111111222</v>
      </c>
      <c r="G323" s="20"/>
      <c r="H323" s="3">
        <f t="shared" si="48"/>
        <v>313</v>
      </c>
      <c r="I323" s="18">
        <f t="shared" si="54"/>
        <v>105720.83354277359</v>
      </c>
      <c r="J323" s="18">
        <f t="shared" si="49"/>
        <v>352.40277847591193</v>
      </c>
      <c r="K323" s="18">
        <f t="shared" si="50"/>
        <v>2034.6736988513858</v>
      </c>
      <c r="L323" s="18">
        <f t="shared" si="51"/>
        <v>103686.1598439222</v>
      </c>
      <c r="M323" s="19">
        <f t="shared" si="52"/>
        <v>2387.0764773272977</v>
      </c>
    </row>
    <row r="324" spans="1:13" x14ac:dyDescent="0.25">
      <c r="A324" s="3">
        <f>IF(B324&lt;&gt;"",314,"")</f>
        <v>314</v>
      </c>
      <c r="B324" s="18">
        <f t="shared" si="53"/>
        <v>65277.777777781128</v>
      </c>
      <c r="C324" s="18">
        <f t="shared" si="44"/>
        <v>217.59259259260375</v>
      </c>
      <c r="D324" s="18">
        <f t="shared" si="45"/>
        <v>1388.8888888888889</v>
      </c>
      <c r="E324" s="18">
        <f t="shared" si="46"/>
        <v>63888.888888892237</v>
      </c>
      <c r="F324" s="19">
        <f t="shared" si="47"/>
        <v>1606.4814814814927</v>
      </c>
      <c r="G324" s="20"/>
      <c r="H324" s="3">
        <f t="shared" si="48"/>
        <v>314</v>
      </c>
      <c r="I324" s="18">
        <f t="shared" si="54"/>
        <v>103686.1598439222</v>
      </c>
      <c r="J324" s="18">
        <f t="shared" si="49"/>
        <v>345.62053281307402</v>
      </c>
      <c r="K324" s="18">
        <f t="shared" si="50"/>
        <v>2041.4559445142236</v>
      </c>
      <c r="L324" s="18">
        <f t="shared" si="51"/>
        <v>101644.70389940798</v>
      </c>
      <c r="M324" s="19">
        <f t="shared" si="52"/>
        <v>2387.0764773272977</v>
      </c>
    </row>
    <row r="325" spans="1:13" x14ac:dyDescent="0.25">
      <c r="A325" s="3">
        <f>IF(B325&lt;&gt;"",315,"")</f>
        <v>315</v>
      </c>
      <c r="B325" s="18">
        <f t="shared" si="53"/>
        <v>63888.888888892237</v>
      </c>
      <c r="C325" s="18">
        <f t="shared" si="44"/>
        <v>212.9629629629741</v>
      </c>
      <c r="D325" s="18">
        <f t="shared" si="45"/>
        <v>1388.8888888888889</v>
      </c>
      <c r="E325" s="18">
        <f t="shared" si="46"/>
        <v>62500.000000003347</v>
      </c>
      <c r="F325" s="19">
        <f t="shared" si="47"/>
        <v>1601.8518518518631</v>
      </c>
      <c r="G325" s="20"/>
      <c r="H325" s="3">
        <f t="shared" si="48"/>
        <v>315</v>
      </c>
      <c r="I325" s="18">
        <f t="shared" si="54"/>
        <v>101644.70389940798</v>
      </c>
      <c r="J325" s="18">
        <f t="shared" si="49"/>
        <v>338.81567966469328</v>
      </c>
      <c r="K325" s="18">
        <f t="shared" si="50"/>
        <v>2048.2607976626045</v>
      </c>
      <c r="L325" s="18">
        <f t="shared" si="51"/>
        <v>99596.443101745375</v>
      </c>
      <c r="M325" s="19">
        <f t="shared" si="52"/>
        <v>2387.0764773272977</v>
      </c>
    </row>
    <row r="326" spans="1:13" x14ac:dyDescent="0.25">
      <c r="A326" s="3">
        <f>IF(B326&lt;&gt;"",316,"")</f>
        <v>316</v>
      </c>
      <c r="B326" s="18">
        <f t="shared" si="53"/>
        <v>62500.000000003347</v>
      </c>
      <c r="C326" s="18">
        <f t="shared" si="44"/>
        <v>208.33333333334451</v>
      </c>
      <c r="D326" s="18">
        <f t="shared" si="45"/>
        <v>1388.8888888888889</v>
      </c>
      <c r="E326" s="18">
        <f t="shared" si="46"/>
        <v>61111.111111114456</v>
      </c>
      <c r="F326" s="19">
        <f t="shared" si="47"/>
        <v>1597.2222222222335</v>
      </c>
      <c r="G326" s="20"/>
      <c r="H326" s="3">
        <f t="shared" si="48"/>
        <v>316</v>
      </c>
      <c r="I326" s="18">
        <f t="shared" si="54"/>
        <v>99596.443101745375</v>
      </c>
      <c r="J326" s="18">
        <f t="shared" si="49"/>
        <v>331.98814367248457</v>
      </c>
      <c r="K326" s="18">
        <f t="shared" si="50"/>
        <v>2055.0883336548131</v>
      </c>
      <c r="L326" s="18">
        <f t="shared" si="51"/>
        <v>97541.354768090561</v>
      </c>
      <c r="M326" s="19">
        <f t="shared" si="52"/>
        <v>2387.0764773272977</v>
      </c>
    </row>
    <row r="327" spans="1:13" x14ac:dyDescent="0.25">
      <c r="A327" s="3">
        <f>IF(B327&lt;&gt;"",317,"")</f>
        <v>317</v>
      </c>
      <c r="B327" s="18">
        <f t="shared" si="53"/>
        <v>61111.111111114456</v>
      </c>
      <c r="C327" s="18">
        <f t="shared" si="44"/>
        <v>203.70370370371487</v>
      </c>
      <c r="D327" s="18">
        <f t="shared" si="45"/>
        <v>1388.8888888888889</v>
      </c>
      <c r="E327" s="18">
        <f t="shared" si="46"/>
        <v>59722.222222225566</v>
      </c>
      <c r="F327" s="19">
        <f t="shared" si="47"/>
        <v>1592.5925925926038</v>
      </c>
      <c r="G327" s="20"/>
      <c r="H327" s="3">
        <f t="shared" si="48"/>
        <v>317</v>
      </c>
      <c r="I327" s="18">
        <f t="shared" si="54"/>
        <v>97541.354768090561</v>
      </c>
      <c r="J327" s="18">
        <f t="shared" si="49"/>
        <v>325.13784922696851</v>
      </c>
      <c r="K327" s="18">
        <f t="shared" si="50"/>
        <v>2061.938628100329</v>
      </c>
      <c r="L327" s="18">
        <f t="shared" si="51"/>
        <v>95479.416139990237</v>
      </c>
      <c r="M327" s="19">
        <f t="shared" si="52"/>
        <v>2387.0764773272977</v>
      </c>
    </row>
    <row r="328" spans="1:13" x14ac:dyDescent="0.25">
      <c r="A328" s="3">
        <f>IF(B328&lt;&gt;"",318,"")</f>
        <v>318</v>
      </c>
      <c r="B328" s="18">
        <f t="shared" si="53"/>
        <v>59722.222222225566</v>
      </c>
      <c r="C328" s="18">
        <f t="shared" si="44"/>
        <v>199.07407407408525</v>
      </c>
      <c r="D328" s="18">
        <f t="shared" si="45"/>
        <v>1388.8888888888889</v>
      </c>
      <c r="E328" s="18">
        <f t="shared" si="46"/>
        <v>58333.333333336675</v>
      </c>
      <c r="F328" s="19">
        <f t="shared" si="47"/>
        <v>1587.9629629629742</v>
      </c>
      <c r="G328" s="20"/>
      <c r="H328" s="3">
        <f t="shared" si="48"/>
        <v>318</v>
      </c>
      <c r="I328" s="18">
        <f t="shared" si="54"/>
        <v>95479.416139990237</v>
      </c>
      <c r="J328" s="18">
        <f t="shared" si="49"/>
        <v>318.26472046663412</v>
      </c>
      <c r="K328" s="18">
        <f t="shared" si="50"/>
        <v>2068.8117568606635</v>
      </c>
      <c r="L328" s="18">
        <f t="shared" si="51"/>
        <v>93410.604383129568</v>
      </c>
      <c r="M328" s="19">
        <f t="shared" si="52"/>
        <v>2387.0764773272977</v>
      </c>
    </row>
    <row r="329" spans="1:13" x14ac:dyDescent="0.25">
      <c r="A329" s="3">
        <f>IF(B329&lt;&gt;"",319,"")</f>
        <v>319</v>
      </c>
      <c r="B329" s="18">
        <f t="shared" si="53"/>
        <v>58333.333333336675</v>
      </c>
      <c r="C329" s="18">
        <f t="shared" si="44"/>
        <v>194.4444444444556</v>
      </c>
      <c r="D329" s="18">
        <f t="shared" si="45"/>
        <v>1388.8888888888889</v>
      </c>
      <c r="E329" s="18">
        <f t="shared" si="46"/>
        <v>56944.444444447785</v>
      </c>
      <c r="F329" s="19">
        <f t="shared" si="47"/>
        <v>1583.3333333333444</v>
      </c>
      <c r="G329" s="20"/>
      <c r="H329" s="3">
        <f t="shared" si="48"/>
        <v>319</v>
      </c>
      <c r="I329" s="18">
        <f t="shared" si="54"/>
        <v>93410.604383129568</v>
      </c>
      <c r="J329" s="18">
        <f t="shared" si="49"/>
        <v>311.36868127709857</v>
      </c>
      <c r="K329" s="18">
        <f t="shared" si="50"/>
        <v>2075.7077960501992</v>
      </c>
      <c r="L329" s="18">
        <f t="shared" si="51"/>
        <v>91334.896587079362</v>
      </c>
      <c r="M329" s="19">
        <f t="shared" si="52"/>
        <v>2387.0764773272977</v>
      </c>
    </row>
    <row r="330" spans="1:13" x14ac:dyDescent="0.25">
      <c r="A330" s="3">
        <f>IF(B330&lt;&gt;"",320,"")</f>
        <v>320</v>
      </c>
      <c r="B330" s="18">
        <f t="shared" si="53"/>
        <v>56944.444444447785</v>
      </c>
      <c r="C330" s="18">
        <f t="shared" si="44"/>
        <v>189.81481481482595</v>
      </c>
      <c r="D330" s="18">
        <f t="shared" si="45"/>
        <v>1388.8888888888889</v>
      </c>
      <c r="E330" s="18">
        <f t="shared" si="46"/>
        <v>55555.555555558894</v>
      </c>
      <c r="F330" s="19">
        <f t="shared" si="47"/>
        <v>1578.7037037037148</v>
      </c>
      <c r="G330" s="20"/>
      <c r="H330" s="3">
        <f t="shared" si="48"/>
        <v>320</v>
      </c>
      <c r="I330" s="18">
        <f t="shared" si="54"/>
        <v>91334.896587079362</v>
      </c>
      <c r="J330" s="18">
        <f t="shared" si="49"/>
        <v>304.44965529026456</v>
      </c>
      <c r="K330" s="18">
        <f t="shared" si="50"/>
        <v>2082.626822037033</v>
      </c>
      <c r="L330" s="18">
        <f t="shared" si="51"/>
        <v>89252.269765042322</v>
      </c>
      <c r="M330" s="19">
        <f t="shared" si="52"/>
        <v>2387.0764773272977</v>
      </c>
    </row>
    <row r="331" spans="1:13" x14ac:dyDescent="0.25">
      <c r="A331" s="3">
        <f>IF(B331&lt;&gt;"",321,"")</f>
        <v>321</v>
      </c>
      <c r="B331" s="18">
        <f t="shared" si="53"/>
        <v>55555.555555558894</v>
      </c>
      <c r="C331" s="18">
        <f t="shared" si="44"/>
        <v>185.18518518519633</v>
      </c>
      <c r="D331" s="18">
        <f t="shared" si="45"/>
        <v>1388.8888888888889</v>
      </c>
      <c r="E331" s="18">
        <f t="shared" si="46"/>
        <v>54166.666666670004</v>
      </c>
      <c r="F331" s="19">
        <f t="shared" si="47"/>
        <v>1574.0740740740853</v>
      </c>
      <c r="G331" s="20"/>
      <c r="H331" s="3">
        <f t="shared" si="48"/>
        <v>321</v>
      </c>
      <c r="I331" s="18">
        <f t="shared" si="54"/>
        <v>89252.269765042322</v>
      </c>
      <c r="J331" s="18">
        <f t="shared" si="49"/>
        <v>297.5075658834744</v>
      </c>
      <c r="K331" s="18">
        <f t="shared" si="50"/>
        <v>2089.5689114438233</v>
      </c>
      <c r="L331" s="18">
        <f t="shared" si="51"/>
        <v>87162.700853598493</v>
      </c>
      <c r="M331" s="19">
        <f t="shared" si="52"/>
        <v>2387.0764773272977</v>
      </c>
    </row>
    <row r="332" spans="1:13" x14ac:dyDescent="0.25">
      <c r="A332" s="3">
        <f>IF(B332&lt;&gt;"",322,"")</f>
        <v>322</v>
      </c>
      <c r="B332" s="18">
        <f t="shared" si="53"/>
        <v>54166.666666670004</v>
      </c>
      <c r="C332" s="18">
        <f t="shared" ref="C332:C395" si="55">IFERROR(B332*$G$4/12,"")</f>
        <v>180.55555555556668</v>
      </c>
      <c r="D332" s="18">
        <f t="shared" ref="D332:D395" si="56">IF(A332&lt;&gt;"",$G$3/$G$5,"")</f>
        <v>1388.8888888888889</v>
      </c>
      <c r="E332" s="18">
        <f t="shared" ref="E332:E395" si="57">IF(A332&lt;&gt;"",B332-D332,"")</f>
        <v>52777.777777781113</v>
      </c>
      <c r="F332" s="19">
        <f t="shared" ref="F332:F395" si="58">IF(A332&lt;&gt;"",C332+D332,"")</f>
        <v>1569.4444444444557</v>
      </c>
      <c r="G332" s="20"/>
      <c r="H332" s="3">
        <f t="shared" ref="H332:H370" si="59">A332</f>
        <v>322</v>
      </c>
      <c r="I332" s="18">
        <f t="shared" si="54"/>
        <v>87162.700853598493</v>
      </c>
      <c r="J332" s="18">
        <f t="shared" ref="J332:J395" si="60">IFERROR(I332*$G$4/12,"")</f>
        <v>290.54233617866163</v>
      </c>
      <c r="K332" s="18">
        <f t="shared" ref="K332:K395" si="61">IFERROR(M332-J332,"")</f>
        <v>2096.5341411486361</v>
      </c>
      <c r="L332" s="18">
        <f t="shared" ref="L332:L395" si="62">IFERROR(I332-K332,"")</f>
        <v>85066.166712449864</v>
      </c>
      <c r="M332" s="19">
        <f t="shared" ref="M332:M395" si="63">IF(H332&lt;&gt;"",-PMT($G$4/12,$G$5,$G$3),"")</f>
        <v>2387.0764773272977</v>
      </c>
    </row>
    <row r="333" spans="1:13" x14ac:dyDescent="0.25">
      <c r="A333" s="3">
        <f>IF(B333&lt;&gt;"",323,"")</f>
        <v>323</v>
      </c>
      <c r="B333" s="18">
        <f t="shared" ref="B333:B396" si="64">IFERROR(IF(B332-D332&gt;=0.01,B332-D332,""),"")</f>
        <v>52777.777777781113</v>
      </c>
      <c r="C333" s="18">
        <f t="shared" si="55"/>
        <v>175.92592592593704</v>
      </c>
      <c r="D333" s="18">
        <f t="shared" si="56"/>
        <v>1388.8888888888889</v>
      </c>
      <c r="E333" s="18">
        <f t="shared" si="57"/>
        <v>51388.888888892223</v>
      </c>
      <c r="F333" s="19">
        <f t="shared" si="58"/>
        <v>1564.8148148148259</v>
      </c>
      <c r="G333" s="20"/>
      <c r="H333" s="3">
        <f t="shared" si="59"/>
        <v>323</v>
      </c>
      <c r="I333" s="18">
        <f t="shared" ref="I333:I396" si="65">IFERROR(IF(I332-K332&gt;=0.01,I332-K332,""),"")</f>
        <v>85066.166712449864</v>
      </c>
      <c r="J333" s="18">
        <f t="shared" si="60"/>
        <v>283.55388904149953</v>
      </c>
      <c r="K333" s="18">
        <f t="shared" si="61"/>
        <v>2103.5225882857981</v>
      </c>
      <c r="L333" s="18">
        <f t="shared" si="62"/>
        <v>82962.644124164071</v>
      </c>
      <c r="M333" s="19">
        <f t="shared" si="63"/>
        <v>2387.0764773272977</v>
      </c>
    </row>
    <row r="334" spans="1:13" x14ac:dyDescent="0.25">
      <c r="A334" s="3">
        <f>IF(B334&lt;&gt;"",324,"")</f>
        <v>324</v>
      </c>
      <c r="B334" s="18">
        <f t="shared" si="64"/>
        <v>51388.888888892223</v>
      </c>
      <c r="C334" s="18">
        <f t="shared" si="55"/>
        <v>171.29629629630742</v>
      </c>
      <c r="D334" s="18">
        <f t="shared" si="56"/>
        <v>1388.8888888888889</v>
      </c>
      <c r="E334" s="18">
        <f t="shared" si="57"/>
        <v>50000.000000003332</v>
      </c>
      <c r="F334" s="19">
        <f t="shared" si="58"/>
        <v>1560.1851851851964</v>
      </c>
      <c r="G334" s="20"/>
      <c r="H334" s="3">
        <f t="shared" si="59"/>
        <v>324</v>
      </c>
      <c r="I334" s="18">
        <f t="shared" si="65"/>
        <v>82962.644124164071</v>
      </c>
      <c r="J334" s="18">
        <f t="shared" si="60"/>
        <v>276.5421470805469</v>
      </c>
      <c r="K334" s="18">
        <f t="shared" si="61"/>
        <v>2110.5343302467509</v>
      </c>
      <c r="L334" s="18">
        <f t="shared" si="62"/>
        <v>80852.10979391732</v>
      </c>
      <c r="M334" s="19">
        <f t="shared" si="63"/>
        <v>2387.0764773272977</v>
      </c>
    </row>
    <row r="335" spans="1:13" x14ac:dyDescent="0.25">
      <c r="A335" s="3">
        <f>IF(B335&lt;&gt;"",325,"")</f>
        <v>325</v>
      </c>
      <c r="B335" s="18">
        <f t="shared" si="64"/>
        <v>50000.000000003332</v>
      </c>
      <c r="C335" s="18">
        <f t="shared" si="55"/>
        <v>166.66666666667777</v>
      </c>
      <c r="D335" s="18">
        <f t="shared" si="56"/>
        <v>1388.8888888888889</v>
      </c>
      <c r="E335" s="18">
        <f t="shared" si="57"/>
        <v>48611.111111114442</v>
      </c>
      <c r="F335" s="19">
        <f t="shared" si="58"/>
        <v>1555.5555555555666</v>
      </c>
      <c r="G335" s="20"/>
      <c r="H335" s="3">
        <f t="shared" si="59"/>
        <v>325</v>
      </c>
      <c r="I335" s="18">
        <f t="shared" si="65"/>
        <v>80852.10979391732</v>
      </c>
      <c r="J335" s="18">
        <f t="shared" si="60"/>
        <v>269.50703264639105</v>
      </c>
      <c r="K335" s="18">
        <f t="shared" si="61"/>
        <v>2117.5694446809066</v>
      </c>
      <c r="L335" s="18">
        <f t="shared" si="62"/>
        <v>78734.540349236413</v>
      </c>
      <c r="M335" s="19">
        <f t="shared" si="63"/>
        <v>2387.0764773272977</v>
      </c>
    </row>
    <row r="336" spans="1:13" x14ac:dyDescent="0.25">
      <c r="A336" s="3">
        <f>IF(B336&lt;&gt;"",326,"")</f>
        <v>326</v>
      </c>
      <c r="B336" s="18">
        <f t="shared" si="64"/>
        <v>48611.111111114442</v>
      </c>
      <c r="C336" s="18">
        <f t="shared" si="55"/>
        <v>162.03703703704815</v>
      </c>
      <c r="D336" s="18">
        <f t="shared" si="56"/>
        <v>1388.8888888888889</v>
      </c>
      <c r="E336" s="18">
        <f t="shared" si="57"/>
        <v>47222.222222225551</v>
      </c>
      <c r="F336" s="19">
        <f t="shared" si="58"/>
        <v>1550.925925925937</v>
      </c>
      <c r="G336" s="20"/>
      <c r="H336" s="3">
        <f t="shared" si="59"/>
        <v>326</v>
      </c>
      <c r="I336" s="18">
        <f t="shared" si="65"/>
        <v>78734.540349236413</v>
      </c>
      <c r="J336" s="18">
        <f t="shared" si="60"/>
        <v>262.44846783078805</v>
      </c>
      <c r="K336" s="18">
        <f t="shared" si="61"/>
        <v>2124.6280094965095</v>
      </c>
      <c r="L336" s="18">
        <f t="shared" si="62"/>
        <v>76609.912339739909</v>
      </c>
      <c r="M336" s="19">
        <f t="shared" si="63"/>
        <v>2387.0764773272977</v>
      </c>
    </row>
    <row r="337" spans="1:13" x14ac:dyDescent="0.25">
      <c r="A337" s="3">
        <f>IF(B337&lt;&gt;"",327,"")</f>
        <v>327</v>
      </c>
      <c r="B337" s="18">
        <f t="shared" si="64"/>
        <v>47222.222222225551</v>
      </c>
      <c r="C337" s="18">
        <f t="shared" si="55"/>
        <v>157.4074074074185</v>
      </c>
      <c r="D337" s="18">
        <f t="shared" si="56"/>
        <v>1388.8888888888889</v>
      </c>
      <c r="E337" s="18">
        <f t="shared" si="57"/>
        <v>45833.333333336661</v>
      </c>
      <c r="F337" s="19">
        <f t="shared" si="58"/>
        <v>1546.2962962963074</v>
      </c>
      <c r="G337" s="20"/>
      <c r="H337" s="3">
        <f t="shared" si="59"/>
        <v>327</v>
      </c>
      <c r="I337" s="18">
        <f t="shared" si="65"/>
        <v>76609.912339739909</v>
      </c>
      <c r="J337" s="18">
        <f t="shared" si="60"/>
        <v>255.36637446579971</v>
      </c>
      <c r="K337" s="18">
        <f t="shared" si="61"/>
        <v>2131.7101028614979</v>
      </c>
      <c r="L337" s="18">
        <f t="shared" si="62"/>
        <v>74478.202236878409</v>
      </c>
      <c r="M337" s="19">
        <f t="shared" si="63"/>
        <v>2387.0764773272977</v>
      </c>
    </row>
    <row r="338" spans="1:13" x14ac:dyDescent="0.25">
      <c r="A338" s="3">
        <f>IF(B338&lt;&gt;"",328,"")</f>
        <v>328</v>
      </c>
      <c r="B338" s="18">
        <f t="shared" si="64"/>
        <v>45833.333333336661</v>
      </c>
      <c r="C338" s="18">
        <f t="shared" si="55"/>
        <v>152.77777777778888</v>
      </c>
      <c r="D338" s="18">
        <f t="shared" si="56"/>
        <v>1388.8888888888889</v>
      </c>
      <c r="E338" s="18">
        <f t="shared" si="57"/>
        <v>44444.44444444777</v>
      </c>
      <c r="F338" s="19">
        <f t="shared" si="58"/>
        <v>1541.6666666666779</v>
      </c>
      <c r="G338" s="20"/>
      <c r="H338" s="3">
        <f t="shared" si="59"/>
        <v>328</v>
      </c>
      <c r="I338" s="18">
        <f t="shared" si="65"/>
        <v>74478.202236878409</v>
      </c>
      <c r="J338" s="18">
        <f t="shared" si="60"/>
        <v>248.26067412292801</v>
      </c>
      <c r="K338" s="18">
        <f t="shared" si="61"/>
        <v>2138.8158032043698</v>
      </c>
      <c r="L338" s="18">
        <f t="shared" si="62"/>
        <v>72339.386433674037</v>
      </c>
      <c r="M338" s="19">
        <f t="shared" si="63"/>
        <v>2387.0764773272977</v>
      </c>
    </row>
    <row r="339" spans="1:13" x14ac:dyDescent="0.25">
      <c r="A339" s="3">
        <f>IF(B339&lt;&gt;"",329,"")</f>
        <v>329</v>
      </c>
      <c r="B339" s="18">
        <f t="shared" si="64"/>
        <v>44444.44444444777</v>
      </c>
      <c r="C339" s="18">
        <f t="shared" si="55"/>
        <v>148.14814814815924</v>
      </c>
      <c r="D339" s="18">
        <f t="shared" si="56"/>
        <v>1388.8888888888889</v>
      </c>
      <c r="E339" s="18">
        <f t="shared" si="57"/>
        <v>43055.55555555888</v>
      </c>
      <c r="F339" s="19">
        <f t="shared" si="58"/>
        <v>1537.0370370370481</v>
      </c>
      <c r="G339" s="20"/>
      <c r="H339" s="3">
        <f t="shared" si="59"/>
        <v>329</v>
      </c>
      <c r="I339" s="18">
        <f t="shared" si="65"/>
        <v>72339.386433674037</v>
      </c>
      <c r="J339" s="18">
        <f t="shared" si="60"/>
        <v>241.13128811224681</v>
      </c>
      <c r="K339" s="18">
        <f t="shared" si="61"/>
        <v>2145.945189215051</v>
      </c>
      <c r="L339" s="18">
        <f t="shared" si="62"/>
        <v>70193.441244458983</v>
      </c>
      <c r="M339" s="19">
        <f t="shared" si="63"/>
        <v>2387.0764773272977</v>
      </c>
    </row>
    <row r="340" spans="1:13" x14ac:dyDescent="0.25">
      <c r="A340" s="3">
        <f>IF(B340&lt;&gt;"",330,"")</f>
        <v>330</v>
      </c>
      <c r="B340" s="18">
        <f t="shared" si="64"/>
        <v>43055.55555555888</v>
      </c>
      <c r="C340" s="18">
        <f t="shared" si="55"/>
        <v>143.51851851852959</v>
      </c>
      <c r="D340" s="18">
        <f t="shared" si="56"/>
        <v>1388.8888888888889</v>
      </c>
      <c r="E340" s="18">
        <f t="shared" si="57"/>
        <v>41666.666666669989</v>
      </c>
      <c r="F340" s="19">
        <f t="shared" si="58"/>
        <v>1532.4074074074185</v>
      </c>
      <c r="G340" s="20"/>
      <c r="H340" s="3">
        <f t="shared" si="59"/>
        <v>330</v>
      </c>
      <c r="I340" s="18">
        <f t="shared" si="65"/>
        <v>70193.441244458983</v>
      </c>
      <c r="J340" s="18">
        <f t="shared" si="60"/>
        <v>233.97813748152996</v>
      </c>
      <c r="K340" s="18">
        <f t="shared" si="61"/>
        <v>2153.0983398457679</v>
      </c>
      <c r="L340" s="18">
        <f t="shared" si="62"/>
        <v>68040.342904613222</v>
      </c>
      <c r="M340" s="19">
        <f t="shared" si="63"/>
        <v>2387.0764773272977</v>
      </c>
    </row>
    <row r="341" spans="1:13" x14ac:dyDescent="0.25">
      <c r="A341" s="3">
        <f>IF(B341&lt;&gt;"",331,"")</f>
        <v>331</v>
      </c>
      <c r="B341" s="18">
        <f t="shared" si="64"/>
        <v>41666.666666669989</v>
      </c>
      <c r="C341" s="18">
        <f t="shared" si="55"/>
        <v>138.88888888889997</v>
      </c>
      <c r="D341" s="18">
        <f t="shared" si="56"/>
        <v>1388.8888888888889</v>
      </c>
      <c r="E341" s="18">
        <f t="shared" si="57"/>
        <v>40277.777777781099</v>
      </c>
      <c r="F341" s="19">
        <f t="shared" si="58"/>
        <v>1527.777777777789</v>
      </c>
      <c r="G341" s="20"/>
      <c r="H341" s="3">
        <f t="shared" si="59"/>
        <v>331</v>
      </c>
      <c r="I341" s="18">
        <f t="shared" si="65"/>
        <v>68040.342904613222</v>
      </c>
      <c r="J341" s="18">
        <f t="shared" si="60"/>
        <v>226.80114301537742</v>
      </c>
      <c r="K341" s="18">
        <f t="shared" si="61"/>
        <v>2160.2753343119202</v>
      </c>
      <c r="L341" s="18">
        <f t="shared" si="62"/>
        <v>65880.067570301297</v>
      </c>
      <c r="M341" s="19">
        <f t="shared" si="63"/>
        <v>2387.0764773272977</v>
      </c>
    </row>
    <row r="342" spans="1:13" x14ac:dyDescent="0.25">
      <c r="A342" s="3">
        <f>IF(B342&lt;&gt;"",332,"")</f>
        <v>332</v>
      </c>
      <c r="B342" s="18">
        <f t="shared" si="64"/>
        <v>40277.777777781099</v>
      </c>
      <c r="C342" s="18">
        <f t="shared" si="55"/>
        <v>134.25925925927035</v>
      </c>
      <c r="D342" s="18">
        <f t="shared" si="56"/>
        <v>1388.8888888888889</v>
      </c>
      <c r="E342" s="18">
        <f t="shared" si="57"/>
        <v>38888.888888892208</v>
      </c>
      <c r="F342" s="19">
        <f t="shared" si="58"/>
        <v>1523.1481481481592</v>
      </c>
      <c r="G342" s="20"/>
      <c r="H342" s="3">
        <f t="shared" si="59"/>
        <v>332</v>
      </c>
      <c r="I342" s="18">
        <f t="shared" si="65"/>
        <v>65880.067570301297</v>
      </c>
      <c r="J342" s="18">
        <f t="shared" si="60"/>
        <v>219.60022523433767</v>
      </c>
      <c r="K342" s="18">
        <f t="shared" si="61"/>
        <v>2167.4762520929598</v>
      </c>
      <c r="L342" s="18">
        <f t="shared" si="62"/>
        <v>63712.591318208339</v>
      </c>
      <c r="M342" s="19">
        <f t="shared" si="63"/>
        <v>2387.0764773272977</v>
      </c>
    </row>
    <row r="343" spans="1:13" x14ac:dyDescent="0.25">
      <c r="A343" s="3">
        <f>IF(B343&lt;&gt;"",333,"")</f>
        <v>333</v>
      </c>
      <c r="B343" s="18">
        <f t="shared" si="64"/>
        <v>38888.888888892208</v>
      </c>
      <c r="C343" s="18">
        <f t="shared" si="55"/>
        <v>129.6296296296407</v>
      </c>
      <c r="D343" s="18">
        <f t="shared" si="56"/>
        <v>1388.8888888888889</v>
      </c>
      <c r="E343" s="18">
        <f t="shared" si="57"/>
        <v>37500.000000003318</v>
      </c>
      <c r="F343" s="19">
        <f t="shared" si="58"/>
        <v>1518.5185185185296</v>
      </c>
      <c r="G343" s="20"/>
      <c r="H343" s="3">
        <f t="shared" si="59"/>
        <v>333</v>
      </c>
      <c r="I343" s="18">
        <f t="shared" si="65"/>
        <v>63712.591318208339</v>
      </c>
      <c r="J343" s="18">
        <f t="shared" si="60"/>
        <v>212.37530439402781</v>
      </c>
      <c r="K343" s="18">
        <f t="shared" si="61"/>
        <v>2174.7011729332698</v>
      </c>
      <c r="L343" s="18">
        <f t="shared" si="62"/>
        <v>61537.890145275072</v>
      </c>
      <c r="M343" s="19">
        <f t="shared" si="63"/>
        <v>2387.0764773272977</v>
      </c>
    </row>
    <row r="344" spans="1:13" x14ac:dyDescent="0.25">
      <c r="A344" s="3">
        <f>IF(B344&lt;&gt;"",334,"")</f>
        <v>334</v>
      </c>
      <c r="B344" s="18">
        <f t="shared" si="64"/>
        <v>37500.000000003318</v>
      </c>
      <c r="C344" s="18">
        <f t="shared" si="55"/>
        <v>125.00000000001107</v>
      </c>
      <c r="D344" s="18">
        <f t="shared" si="56"/>
        <v>1388.8888888888889</v>
      </c>
      <c r="E344" s="18">
        <f t="shared" si="57"/>
        <v>36111.111111114427</v>
      </c>
      <c r="F344" s="19">
        <f t="shared" si="58"/>
        <v>1513.8888888889001</v>
      </c>
      <c r="G344" s="20"/>
      <c r="H344" s="3">
        <f t="shared" si="59"/>
        <v>334</v>
      </c>
      <c r="I344" s="18">
        <f t="shared" si="65"/>
        <v>61537.890145275072</v>
      </c>
      <c r="J344" s="18">
        <f t="shared" si="60"/>
        <v>205.12630048425024</v>
      </c>
      <c r="K344" s="18">
        <f t="shared" si="61"/>
        <v>2181.9501768430473</v>
      </c>
      <c r="L344" s="18">
        <f t="shared" si="62"/>
        <v>59355.939968432023</v>
      </c>
      <c r="M344" s="19">
        <f t="shared" si="63"/>
        <v>2387.0764773272977</v>
      </c>
    </row>
    <row r="345" spans="1:13" x14ac:dyDescent="0.25">
      <c r="A345" s="3">
        <f>IF(B345&lt;&gt;"",335,"")</f>
        <v>335</v>
      </c>
      <c r="B345" s="18">
        <f t="shared" si="64"/>
        <v>36111.111111114427</v>
      </c>
      <c r="C345" s="18">
        <f t="shared" si="55"/>
        <v>120.37037037038142</v>
      </c>
      <c r="D345" s="18">
        <f t="shared" si="56"/>
        <v>1388.8888888888889</v>
      </c>
      <c r="E345" s="18">
        <f t="shared" si="57"/>
        <v>34722.222222225537</v>
      </c>
      <c r="F345" s="19">
        <f t="shared" si="58"/>
        <v>1509.2592592592703</v>
      </c>
      <c r="G345" s="20"/>
      <c r="H345" s="3">
        <f t="shared" si="59"/>
        <v>335</v>
      </c>
      <c r="I345" s="18">
        <f t="shared" si="65"/>
        <v>59355.939968432023</v>
      </c>
      <c r="J345" s="18">
        <f t="shared" si="60"/>
        <v>197.85313322810677</v>
      </c>
      <c r="K345" s="18">
        <f t="shared" si="61"/>
        <v>2189.2233440991909</v>
      </c>
      <c r="L345" s="18">
        <f t="shared" si="62"/>
        <v>57166.716624332832</v>
      </c>
      <c r="M345" s="19">
        <f t="shared" si="63"/>
        <v>2387.0764773272977</v>
      </c>
    </row>
    <row r="346" spans="1:13" x14ac:dyDescent="0.25">
      <c r="A346" s="3">
        <f>IF(B346&lt;&gt;"",336,"")</f>
        <v>336</v>
      </c>
      <c r="B346" s="18">
        <f t="shared" si="64"/>
        <v>34722.222222225537</v>
      </c>
      <c r="C346" s="18">
        <f t="shared" si="55"/>
        <v>115.74074074075179</v>
      </c>
      <c r="D346" s="18">
        <f t="shared" si="56"/>
        <v>1388.8888888888889</v>
      </c>
      <c r="E346" s="18">
        <f t="shared" si="57"/>
        <v>33333.333333336646</v>
      </c>
      <c r="F346" s="19">
        <f t="shared" si="58"/>
        <v>1504.6296296296407</v>
      </c>
      <c r="G346" s="20"/>
      <c r="H346" s="3">
        <f t="shared" si="59"/>
        <v>336</v>
      </c>
      <c r="I346" s="18">
        <f t="shared" si="65"/>
        <v>57166.716624332832</v>
      </c>
      <c r="J346" s="18">
        <f t="shared" si="60"/>
        <v>190.55572208110945</v>
      </c>
      <c r="K346" s="18">
        <f t="shared" si="61"/>
        <v>2196.5207552461884</v>
      </c>
      <c r="L346" s="18">
        <f t="shared" si="62"/>
        <v>54970.195869086645</v>
      </c>
      <c r="M346" s="19">
        <f t="shared" si="63"/>
        <v>2387.0764773272977</v>
      </c>
    </row>
    <row r="347" spans="1:13" x14ac:dyDescent="0.25">
      <c r="A347" s="3">
        <f>IF(B347&lt;&gt;"",337,"")</f>
        <v>337</v>
      </c>
      <c r="B347" s="18">
        <f t="shared" si="64"/>
        <v>33333.333333336646</v>
      </c>
      <c r="C347" s="18">
        <f t="shared" si="55"/>
        <v>111.11111111112216</v>
      </c>
      <c r="D347" s="18">
        <f t="shared" si="56"/>
        <v>1388.8888888888889</v>
      </c>
      <c r="E347" s="18">
        <f t="shared" si="57"/>
        <v>31944.444444447756</v>
      </c>
      <c r="F347" s="19">
        <f t="shared" si="58"/>
        <v>1500.0000000000111</v>
      </c>
      <c r="G347" s="20"/>
      <c r="H347" s="3">
        <f t="shared" si="59"/>
        <v>337</v>
      </c>
      <c r="I347" s="18">
        <f t="shared" si="65"/>
        <v>54970.195869086645</v>
      </c>
      <c r="J347" s="18">
        <f t="shared" si="60"/>
        <v>183.23398623028882</v>
      </c>
      <c r="K347" s="18">
        <f t="shared" si="61"/>
        <v>2203.8424910970089</v>
      </c>
      <c r="L347" s="18">
        <f t="shared" si="62"/>
        <v>52766.353377989639</v>
      </c>
      <c r="M347" s="19">
        <f t="shared" si="63"/>
        <v>2387.0764773272977</v>
      </c>
    </row>
    <row r="348" spans="1:13" x14ac:dyDescent="0.25">
      <c r="A348" s="3">
        <f>IF(B348&lt;&gt;"",338,"")</f>
        <v>338</v>
      </c>
      <c r="B348" s="18">
        <f t="shared" si="64"/>
        <v>31944.444444447756</v>
      </c>
      <c r="C348" s="18">
        <f t="shared" si="55"/>
        <v>106.48148148149251</v>
      </c>
      <c r="D348" s="18">
        <f t="shared" si="56"/>
        <v>1388.8888888888889</v>
      </c>
      <c r="E348" s="18">
        <f t="shared" si="57"/>
        <v>30555.555555558865</v>
      </c>
      <c r="F348" s="19">
        <f t="shared" si="58"/>
        <v>1495.3703703703814</v>
      </c>
      <c r="G348" s="20"/>
      <c r="H348" s="3">
        <f t="shared" si="59"/>
        <v>338</v>
      </c>
      <c r="I348" s="18">
        <f t="shared" si="65"/>
        <v>52766.353377989639</v>
      </c>
      <c r="J348" s="18">
        <f t="shared" si="60"/>
        <v>175.88784459329881</v>
      </c>
      <c r="K348" s="18">
        <f t="shared" si="61"/>
        <v>2211.1886327339989</v>
      </c>
      <c r="L348" s="18">
        <f t="shared" si="62"/>
        <v>50555.164745255643</v>
      </c>
      <c r="M348" s="19">
        <f t="shared" si="63"/>
        <v>2387.0764773272977</v>
      </c>
    </row>
    <row r="349" spans="1:13" x14ac:dyDescent="0.25">
      <c r="A349" s="3">
        <f>IF(B349&lt;&gt;"",339,"")</f>
        <v>339</v>
      </c>
      <c r="B349" s="18">
        <f t="shared" si="64"/>
        <v>30555.555555558865</v>
      </c>
      <c r="C349" s="18">
        <f t="shared" si="55"/>
        <v>101.85185185186289</v>
      </c>
      <c r="D349" s="18">
        <f t="shared" si="56"/>
        <v>1388.8888888888889</v>
      </c>
      <c r="E349" s="18">
        <f t="shared" si="57"/>
        <v>29166.666666669975</v>
      </c>
      <c r="F349" s="19">
        <f t="shared" si="58"/>
        <v>1490.7407407407518</v>
      </c>
      <c r="G349" s="20"/>
      <c r="H349" s="3">
        <f t="shared" si="59"/>
        <v>339</v>
      </c>
      <c r="I349" s="18">
        <f t="shared" si="65"/>
        <v>50555.164745255643</v>
      </c>
      <c r="J349" s="18">
        <f t="shared" si="60"/>
        <v>168.5172158175188</v>
      </c>
      <c r="K349" s="18">
        <f t="shared" si="61"/>
        <v>2218.5592615097789</v>
      </c>
      <c r="L349" s="18">
        <f t="shared" si="62"/>
        <v>48336.605483745865</v>
      </c>
      <c r="M349" s="19">
        <f t="shared" si="63"/>
        <v>2387.0764773272977</v>
      </c>
    </row>
    <row r="350" spans="1:13" x14ac:dyDescent="0.25">
      <c r="A350" s="3">
        <f>IF(B350&lt;&gt;"",340,"")</f>
        <v>340</v>
      </c>
      <c r="B350" s="18">
        <f t="shared" si="64"/>
        <v>29166.666666669975</v>
      </c>
      <c r="C350" s="18">
        <f t="shared" si="55"/>
        <v>97.222222222233256</v>
      </c>
      <c r="D350" s="18">
        <f t="shared" si="56"/>
        <v>1388.8888888888889</v>
      </c>
      <c r="E350" s="18">
        <f t="shared" si="57"/>
        <v>27777.777777781084</v>
      </c>
      <c r="F350" s="19">
        <f t="shared" si="58"/>
        <v>1486.1111111111222</v>
      </c>
      <c r="G350" s="20"/>
      <c r="H350" s="3">
        <f t="shared" si="59"/>
        <v>340</v>
      </c>
      <c r="I350" s="18">
        <f t="shared" si="65"/>
        <v>48336.605483745865</v>
      </c>
      <c r="J350" s="18">
        <f t="shared" si="60"/>
        <v>161.12201827915288</v>
      </c>
      <c r="K350" s="18">
        <f t="shared" si="61"/>
        <v>2225.9544590481446</v>
      </c>
      <c r="L350" s="18">
        <f t="shared" si="62"/>
        <v>46110.65102469772</v>
      </c>
      <c r="M350" s="19">
        <f t="shared" si="63"/>
        <v>2387.0764773272977</v>
      </c>
    </row>
    <row r="351" spans="1:13" x14ac:dyDescent="0.25">
      <c r="A351" s="3">
        <f>IF(B351&lt;&gt;"",341,"")</f>
        <v>341</v>
      </c>
      <c r="B351" s="18">
        <f t="shared" si="64"/>
        <v>27777.777777781084</v>
      </c>
      <c r="C351" s="18">
        <f t="shared" si="55"/>
        <v>92.592592592603623</v>
      </c>
      <c r="D351" s="18">
        <f t="shared" si="56"/>
        <v>1388.8888888888889</v>
      </c>
      <c r="E351" s="18">
        <f t="shared" si="57"/>
        <v>26388.888888892194</v>
      </c>
      <c r="F351" s="19">
        <f t="shared" si="58"/>
        <v>1481.4814814814924</v>
      </c>
      <c r="G351" s="20"/>
      <c r="H351" s="3">
        <f t="shared" si="59"/>
        <v>341</v>
      </c>
      <c r="I351" s="18">
        <f t="shared" si="65"/>
        <v>46110.65102469772</v>
      </c>
      <c r="J351" s="18">
        <f t="shared" si="60"/>
        <v>153.70217008232575</v>
      </c>
      <c r="K351" s="18">
        <f t="shared" si="61"/>
        <v>2233.374307244972</v>
      </c>
      <c r="L351" s="18">
        <f t="shared" si="62"/>
        <v>43877.276717452747</v>
      </c>
      <c r="M351" s="19">
        <f t="shared" si="63"/>
        <v>2387.0764773272977</v>
      </c>
    </row>
    <row r="352" spans="1:13" x14ac:dyDescent="0.25">
      <c r="A352" s="3">
        <f>IF(B352&lt;&gt;"",342,"")</f>
        <v>342</v>
      </c>
      <c r="B352" s="18">
        <f t="shared" si="64"/>
        <v>26388.888888892194</v>
      </c>
      <c r="C352" s="18">
        <f t="shared" si="55"/>
        <v>87.962962962973975</v>
      </c>
      <c r="D352" s="18">
        <f t="shared" si="56"/>
        <v>1388.8888888888889</v>
      </c>
      <c r="E352" s="18">
        <f t="shared" si="57"/>
        <v>25000.000000003303</v>
      </c>
      <c r="F352" s="19">
        <f t="shared" si="58"/>
        <v>1476.8518518518629</v>
      </c>
      <c r="G352" s="20"/>
      <c r="H352" s="3">
        <f t="shared" si="59"/>
        <v>342</v>
      </c>
      <c r="I352" s="18">
        <f t="shared" si="65"/>
        <v>43877.276717452747</v>
      </c>
      <c r="J352" s="18">
        <f t="shared" si="60"/>
        <v>146.25758905817582</v>
      </c>
      <c r="K352" s="18">
        <f t="shared" si="61"/>
        <v>2240.818888269122</v>
      </c>
      <c r="L352" s="18">
        <f t="shared" si="62"/>
        <v>41636.457829183622</v>
      </c>
      <c r="M352" s="19">
        <f t="shared" si="63"/>
        <v>2387.0764773272977</v>
      </c>
    </row>
    <row r="353" spans="1:13" x14ac:dyDescent="0.25">
      <c r="A353" s="3">
        <f>IF(B353&lt;&gt;"",343,"")</f>
        <v>343</v>
      </c>
      <c r="B353" s="18">
        <f t="shared" si="64"/>
        <v>25000.000000003303</v>
      </c>
      <c r="C353" s="18">
        <f t="shared" si="55"/>
        <v>83.333333333344342</v>
      </c>
      <c r="D353" s="18">
        <f t="shared" si="56"/>
        <v>1388.8888888888889</v>
      </c>
      <c r="E353" s="18">
        <f t="shared" si="57"/>
        <v>23611.111111114413</v>
      </c>
      <c r="F353" s="19">
        <f t="shared" si="58"/>
        <v>1472.2222222222333</v>
      </c>
      <c r="G353" s="20"/>
      <c r="H353" s="3">
        <f t="shared" si="59"/>
        <v>343</v>
      </c>
      <c r="I353" s="18">
        <f t="shared" si="65"/>
        <v>41636.457829183622</v>
      </c>
      <c r="J353" s="18">
        <f t="shared" si="60"/>
        <v>138.7881927639454</v>
      </c>
      <c r="K353" s="18">
        <f t="shared" si="61"/>
        <v>2248.2882845633521</v>
      </c>
      <c r="L353" s="18">
        <f t="shared" si="62"/>
        <v>39388.169544620272</v>
      </c>
      <c r="M353" s="19">
        <f t="shared" si="63"/>
        <v>2387.0764773272977</v>
      </c>
    </row>
    <row r="354" spans="1:13" x14ac:dyDescent="0.25">
      <c r="A354" s="3">
        <f>IF(B354&lt;&gt;"",344,"")</f>
        <v>344</v>
      </c>
      <c r="B354" s="18">
        <f t="shared" si="64"/>
        <v>23611.111111114413</v>
      </c>
      <c r="C354" s="18">
        <f t="shared" si="55"/>
        <v>78.703703703714709</v>
      </c>
      <c r="D354" s="18">
        <f t="shared" si="56"/>
        <v>1388.8888888888889</v>
      </c>
      <c r="E354" s="18">
        <f t="shared" si="57"/>
        <v>22222.222222225522</v>
      </c>
      <c r="F354" s="19">
        <f t="shared" si="58"/>
        <v>1467.5925925926035</v>
      </c>
      <c r="G354" s="20"/>
      <c r="H354" s="3">
        <f t="shared" si="59"/>
        <v>344</v>
      </c>
      <c r="I354" s="18">
        <f t="shared" si="65"/>
        <v>39388.169544620272</v>
      </c>
      <c r="J354" s="18">
        <f t="shared" si="60"/>
        <v>131.29389848206759</v>
      </c>
      <c r="K354" s="18">
        <f t="shared" si="61"/>
        <v>2255.7825788452301</v>
      </c>
      <c r="L354" s="18">
        <f t="shared" si="62"/>
        <v>37132.38696577504</v>
      </c>
      <c r="M354" s="19">
        <f t="shared" si="63"/>
        <v>2387.0764773272977</v>
      </c>
    </row>
    <row r="355" spans="1:13" x14ac:dyDescent="0.25">
      <c r="A355" s="3">
        <f>IF(B355&lt;&gt;"",345,"")</f>
        <v>345</v>
      </c>
      <c r="B355" s="18">
        <f t="shared" si="64"/>
        <v>22222.222222225522</v>
      </c>
      <c r="C355" s="18">
        <f t="shared" si="55"/>
        <v>74.074074074085075</v>
      </c>
      <c r="D355" s="18">
        <f t="shared" si="56"/>
        <v>1388.8888888888889</v>
      </c>
      <c r="E355" s="18">
        <f t="shared" si="57"/>
        <v>20833.333333336632</v>
      </c>
      <c r="F355" s="19">
        <f t="shared" si="58"/>
        <v>1462.962962962974</v>
      </c>
      <c r="G355" s="20"/>
      <c r="H355" s="3">
        <f t="shared" si="59"/>
        <v>345</v>
      </c>
      <c r="I355" s="18">
        <f t="shared" si="65"/>
        <v>37132.38696577504</v>
      </c>
      <c r="J355" s="18">
        <f t="shared" si="60"/>
        <v>123.77462321925015</v>
      </c>
      <c r="K355" s="18">
        <f t="shared" si="61"/>
        <v>2263.3018541080473</v>
      </c>
      <c r="L355" s="18">
        <f t="shared" si="62"/>
        <v>34869.085111666995</v>
      </c>
      <c r="M355" s="19">
        <f t="shared" si="63"/>
        <v>2387.0764773272977</v>
      </c>
    </row>
    <row r="356" spans="1:13" x14ac:dyDescent="0.25">
      <c r="A356" s="3">
        <f>IF(B356&lt;&gt;"",346,"")</f>
        <v>346</v>
      </c>
      <c r="B356" s="18">
        <f t="shared" si="64"/>
        <v>20833.333333336632</v>
      </c>
      <c r="C356" s="18">
        <f t="shared" si="55"/>
        <v>69.444444444455442</v>
      </c>
      <c r="D356" s="18">
        <f t="shared" si="56"/>
        <v>1388.8888888888889</v>
      </c>
      <c r="E356" s="18">
        <f t="shared" si="57"/>
        <v>19444.444444447741</v>
      </c>
      <c r="F356" s="19">
        <f t="shared" si="58"/>
        <v>1458.3333333333444</v>
      </c>
      <c r="G356" s="20"/>
      <c r="H356" s="3">
        <f t="shared" si="59"/>
        <v>346</v>
      </c>
      <c r="I356" s="18">
        <f t="shared" si="65"/>
        <v>34869.085111666995</v>
      </c>
      <c r="J356" s="18">
        <f t="shared" si="60"/>
        <v>116.23028370555664</v>
      </c>
      <c r="K356" s="18">
        <f t="shared" si="61"/>
        <v>2270.8461936217409</v>
      </c>
      <c r="L356" s="18">
        <f t="shared" si="62"/>
        <v>32598.238918045252</v>
      </c>
      <c r="M356" s="19">
        <f t="shared" si="63"/>
        <v>2387.0764773272977</v>
      </c>
    </row>
    <row r="357" spans="1:13" x14ac:dyDescent="0.25">
      <c r="A357" s="3">
        <f>IF(B357&lt;&gt;"",347,"")</f>
        <v>347</v>
      </c>
      <c r="B357" s="18">
        <f t="shared" si="64"/>
        <v>19444.444444447741</v>
      </c>
      <c r="C357" s="18">
        <f t="shared" si="55"/>
        <v>64.814814814825809</v>
      </c>
      <c r="D357" s="18">
        <f t="shared" si="56"/>
        <v>1388.8888888888889</v>
      </c>
      <c r="E357" s="18">
        <f t="shared" si="57"/>
        <v>18055.555555558851</v>
      </c>
      <c r="F357" s="19">
        <f t="shared" si="58"/>
        <v>1453.7037037037148</v>
      </c>
      <c r="G357" s="20"/>
      <c r="H357" s="3">
        <f t="shared" si="59"/>
        <v>347</v>
      </c>
      <c r="I357" s="18">
        <f t="shared" si="65"/>
        <v>32598.238918045252</v>
      </c>
      <c r="J357" s="18">
        <f t="shared" si="60"/>
        <v>108.66079639348418</v>
      </c>
      <c r="K357" s="18">
        <f t="shared" si="61"/>
        <v>2278.4156809338133</v>
      </c>
      <c r="L357" s="18">
        <f t="shared" si="62"/>
        <v>30319.823237111439</v>
      </c>
      <c r="M357" s="19">
        <f t="shared" si="63"/>
        <v>2387.0764773272977</v>
      </c>
    </row>
    <row r="358" spans="1:13" x14ac:dyDescent="0.25">
      <c r="A358" s="3">
        <f>IF(B358&lt;&gt;"",348,"")</f>
        <v>348</v>
      </c>
      <c r="B358" s="18">
        <f t="shared" si="64"/>
        <v>18055.555555558851</v>
      </c>
      <c r="C358" s="18">
        <f t="shared" si="55"/>
        <v>60.185185185196168</v>
      </c>
      <c r="D358" s="18">
        <f t="shared" si="56"/>
        <v>1388.8888888888889</v>
      </c>
      <c r="E358" s="18">
        <f t="shared" si="57"/>
        <v>16666.66666666996</v>
      </c>
      <c r="F358" s="19">
        <f t="shared" si="58"/>
        <v>1449.074074074085</v>
      </c>
      <c r="G358" s="20"/>
      <c r="H358" s="3">
        <f t="shared" si="59"/>
        <v>348</v>
      </c>
      <c r="I358" s="18">
        <f t="shared" si="65"/>
        <v>30319.823237111439</v>
      </c>
      <c r="J358" s="18">
        <f t="shared" si="60"/>
        <v>101.06607745703813</v>
      </c>
      <c r="K358" s="18">
        <f t="shared" si="61"/>
        <v>2286.0103998702593</v>
      </c>
      <c r="L358" s="18">
        <f t="shared" si="62"/>
        <v>28033.812837241181</v>
      </c>
      <c r="M358" s="19">
        <f t="shared" si="63"/>
        <v>2387.0764773272977</v>
      </c>
    </row>
    <row r="359" spans="1:13" x14ac:dyDescent="0.25">
      <c r="A359" s="3">
        <f>IF(B359&lt;&gt;"",349,"")</f>
        <v>349</v>
      </c>
      <c r="B359" s="18">
        <f t="shared" si="64"/>
        <v>16666.66666666996</v>
      </c>
      <c r="C359" s="18">
        <f t="shared" si="55"/>
        <v>55.555555555566535</v>
      </c>
      <c r="D359" s="18">
        <f t="shared" si="56"/>
        <v>1388.8888888888889</v>
      </c>
      <c r="E359" s="18">
        <f t="shared" si="57"/>
        <v>15277.777777781072</v>
      </c>
      <c r="F359" s="19">
        <f t="shared" si="58"/>
        <v>1444.4444444444555</v>
      </c>
      <c r="G359" s="20"/>
      <c r="H359" s="3">
        <f t="shared" si="59"/>
        <v>349</v>
      </c>
      <c r="I359" s="18">
        <f t="shared" si="65"/>
        <v>28033.812837241181</v>
      </c>
      <c r="J359" s="18">
        <f t="shared" si="60"/>
        <v>93.446042790803929</v>
      </c>
      <c r="K359" s="18">
        <f t="shared" si="61"/>
        <v>2293.6304345364938</v>
      </c>
      <c r="L359" s="18">
        <f t="shared" si="62"/>
        <v>25740.182402704686</v>
      </c>
      <c r="M359" s="19">
        <f t="shared" si="63"/>
        <v>2387.0764773272977</v>
      </c>
    </row>
    <row r="360" spans="1:13" x14ac:dyDescent="0.25">
      <c r="A360" s="3">
        <f>IF(B360&lt;&gt;"",350,"")</f>
        <v>350</v>
      </c>
      <c r="B360" s="18">
        <f t="shared" si="64"/>
        <v>15277.777777781072</v>
      </c>
      <c r="C360" s="18">
        <f t="shared" si="55"/>
        <v>50.925925925936902</v>
      </c>
      <c r="D360" s="18">
        <f t="shared" si="56"/>
        <v>1388.8888888888889</v>
      </c>
      <c r="E360" s="18">
        <f t="shared" si="57"/>
        <v>13888.888888892183</v>
      </c>
      <c r="F360" s="19">
        <f t="shared" si="58"/>
        <v>1439.8148148148259</v>
      </c>
      <c r="G360" s="20"/>
      <c r="H360" s="3">
        <f t="shared" si="59"/>
        <v>350</v>
      </c>
      <c r="I360" s="18">
        <f t="shared" si="65"/>
        <v>25740.182402704686</v>
      </c>
      <c r="J360" s="18">
        <f t="shared" si="60"/>
        <v>85.800608009015619</v>
      </c>
      <c r="K360" s="18">
        <f t="shared" si="61"/>
        <v>2301.2758693182818</v>
      </c>
      <c r="L360" s="18">
        <f t="shared" si="62"/>
        <v>23438.906533386405</v>
      </c>
      <c r="M360" s="19">
        <f t="shared" si="63"/>
        <v>2387.0764773272977</v>
      </c>
    </row>
    <row r="361" spans="1:13" x14ac:dyDescent="0.25">
      <c r="A361" s="3">
        <f>IF(B361&lt;&gt;"",351,"")</f>
        <v>351</v>
      </c>
      <c r="B361" s="18">
        <f t="shared" si="64"/>
        <v>13888.888888892183</v>
      </c>
      <c r="C361" s="18">
        <f t="shared" si="55"/>
        <v>46.296296296307275</v>
      </c>
      <c r="D361" s="18">
        <f t="shared" si="56"/>
        <v>1388.8888888888889</v>
      </c>
      <c r="E361" s="18">
        <f t="shared" si="57"/>
        <v>12500.000000003294</v>
      </c>
      <c r="F361" s="19">
        <f t="shared" si="58"/>
        <v>1435.1851851851961</v>
      </c>
      <c r="G361" s="20"/>
      <c r="H361" s="3">
        <f t="shared" si="59"/>
        <v>351</v>
      </c>
      <c r="I361" s="18">
        <f t="shared" si="65"/>
        <v>23438.906533386405</v>
      </c>
      <c r="J361" s="18">
        <f t="shared" si="60"/>
        <v>78.129688444621351</v>
      </c>
      <c r="K361" s="18">
        <f t="shared" si="61"/>
        <v>2308.9467888826762</v>
      </c>
      <c r="L361" s="18">
        <f t="shared" si="62"/>
        <v>21129.959744503729</v>
      </c>
      <c r="M361" s="19">
        <f t="shared" si="63"/>
        <v>2387.0764773272977</v>
      </c>
    </row>
    <row r="362" spans="1:13" x14ac:dyDescent="0.25">
      <c r="A362" s="3">
        <f>IF(B362&lt;&gt;"",352,"")</f>
        <v>352</v>
      </c>
      <c r="B362" s="18">
        <f t="shared" si="64"/>
        <v>12500.000000003294</v>
      </c>
      <c r="C362" s="18">
        <f t="shared" si="55"/>
        <v>41.666666666677649</v>
      </c>
      <c r="D362" s="18">
        <f t="shared" si="56"/>
        <v>1388.8888888888889</v>
      </c>
      <c r="E362" s="18">
        <f t="shared" si="57"/>
        <v>11111.111111114406</v>
      </c>
      <c r="F362" s="19">
        <f t="shared" si="58"/>
        <v>1430.5555555555666</v>
      </c>
      <c r="G362" s="20"/>
      <c r="H362" s="3">
        <f t="shared" si="59"/>
        <v>352</v>
      </c>
      <c r="I362" s="18">
        <f t="shared" si="65"/>
        <v>21129.959744503729</v>
      </c>
      <c r="J362" s="18">
        <f t="shared" si="60"/>
        <v>70.433199148345764</v>
      </c>
      <c r="K362" s="18">
        <f t="shared" si="61"/>
        <v>2316.6432781789517</v>
      </c>
      <c r="L362" s="18">
        <f t="shared" si="62"/>
        <v>18813.316466324777</v>
      </c>
      <c r="M362" s="19">
        <f t="shared" si="63"/>
        <v>2387.0764773272977</v>
      </c>
    </row>
    <row r="363" spans="1:13" x14ac:dyDescent="0.25">
      <c r="A363" s="3">
        <f>IF(B363&lt;&gt;"",353,"")</f>
        <v>353</v>
      </c>
      <c r="B363" s="18">
        <f t="shared" si="64"/>
        <v>11111.111111114406</v>
      </c>
      <c r="C363" s="18">
        <f t="shared" si="55"/>
        <v>37.037037037048016</v>
      </c>
      <c r="D363" s="18">
        <f t="shared" si="56"/>
        <v>1388.8888888888889</v>
      </c>
      <c r="E363" s="18">
        <f t="shared" si="57"/>
        <v>9722.2222222255168</v>
      </c>
      <c r="F363" s="19">
        <f t="shared" si="58"/>
        <v>1425.925925925937</v>
      </c>
      <c r="G363" s="20"/>
      <c r="H363" s="3">
        <f t="shared" si="59"/>
        <v>353</v>
      </c>
      <c r="I363" s="18">
        <f t="shared" si="65"/>
        <v>18813.316466324777</v>
      </c>
      <c r="J363" s="18">
        <f t="shared" si="60"/>
        <v>62.711054887749263</v>
      </c>
      <c r="K363" s="18">
        <f t="shared" si="61"/>
        <v>2324.3654224395482</v>
      </c>
      <c r="L363" s="18">
        <f t="shared" si="62"/>
        <v>16488.95104388523</v>
      </c>
      <c r="M363" s="19">
        <f t="shared" si="63"/>
        <v>2387.0764773272977</v>
      </c>
    </row>
    <row r="364" spans="1:13" x14ac:dyDescent="0.25">
      <c r="A364" s="3">
        <f>IF(B364&lt;&gt;"",354,"")</f>
        <v>354</v>
      </c>
      <c r="B364" s="18">
        <f t="shared" si="64"/>
        <v>9722.2222222255168</v>
      </c>
      <c r="C364" s="18">
        <f t="shared" si="55"/>
        <v>32.40740740741839</v>
      </c>
      <c r="D364" s="18">
        <f t="shared" si="56"/>
        <v>1388.8888888888889</v>
      </c>
      <c r="E364" s="18">
        <f t="shared" si="57"/>
        <v>8333.3333333366281</v>
      </c>
      <c r="F364" s="19">
        <f t="shared" si="58"/>
        <v>1421.2962962963072</v>
      </c>
      <c r="G364" s="20"/>
      <c r="H364" s="3">
        <f t="shared" si="59"/>
        <v>354</v>
      </c>
      <c r="I364" s="18">
        <f t="shared" si="65"/>
        <v>16488.95104388523</v>
      </c>
      <c r="J364" s="18">
        <f t="shared" si="60"/>
        <v>54.963170146284106</v>
      </c>
      <c r="K364" s="18">
        <f t="shared" si="61"/>
        <v>2332.1133071810136</v>
      </c>
      <c r="L364" s="18">
        <f t="shared" si="62"/>
        <v>14156.837736704216</v>
      </c>
      <c r="M364" s="19">
        <f t="shared" si="63"/>
        <v>2387.0764773272977</v>
      </c>
    </row>
    <row r="365" spans="1:13" x14ac:dyDescent="0.25">
      <c r="A365" s="3">
        <f>IF(B365&lt;&gt;"",355,"")</f>
        <v>355</v>
      </c>
      <c r="B365" s="18">
        <f t="shared" si="64"/>
        <v>8333.3333333366281</v>
      </c>
      <c r="C365" s="18">
        <f t="shared" si="55"/>
        <v>27.77777777778876</v>
      </c>
      <c r="D365" s="18">
        <f t="shared" si="56"/>
        <v>1388.8888888888889</v>
      </c>
      <c r="E365" s="18">
        <f t="shared" si="57"/>
        <v>6944.4444444477394</v>
      </c>
      <c r="F365" s="19">
        <f t="shared" si="58"/>
        <v>1416.6666666666777</v>
      </c>
      <c r="G365" s="20"/>
      <c r="H365" s="3">
        <f t="shared" si="59"/>
        <v>355</v>
      </c>
      <c r="I365" s="18">
        <f t="shared" si="65"/>
        <v>14156.837736704216</v>
      </c>
      <c r="J365" s="18">
        <f t="shared" si="60"/>
        <v>47.189459122347387</v>
      </c>
      <c r="K365" s="18">
        <f t="shared" si="61"/>
        <v>2339.8870182049504</v>
      </c>
      <c r="L365" s="18">
        <f t="shared" si="62"/>
        <v>11816.950718499265</v>
      </c>
      <c r="M365" s="19">
        <f t="shared" si="63"/>
        <v>2387.0764773272977</v>
      </c>
    </row>
    <row r="366" spans="1:13" x14ac:dyDescent="0.25">
      <c r="A366" s="3">
        <f>IF(B366&lt;&gt;"",356,"")</f>
        <v>356</v>
      </c>
      <c r="B366" s="18">
        <f t="shared" si="64"/>
        <v>6944.4444444477394</v>
      </c>
      <c r="C366" s="18">
        <f t="shared" si="55"/>
        <v>23.148148148159134</v>
      </c>
      <c r="D366" s="18">
        <f t="shared" si="56"/>
        <v>1388.8888888888889</v>
      </c>
      <c r="E366" s="18">
        <f t="shared" si="57"/>
        <v>5555.5555555588508</v>
      </c>
      <c r="F366" s="19">
        <f t="shared" si="58"/>
        <v>1412.0370370370481</v>
      </c>
      <c r="G366" s="20"/>
      <c r="H366" s="3">
        <f t="shared" si="59"/>
        <v>356</v>
      </c>
      <c r="I366" s="18">
        <f t="shared" si="65"/>
        <v>11816.950718499265</v>
      </c>
      <c r="J366" s="18">
        <f t="shared" si="60"/>
        <v>39.389835728330887</v>
      </c>
      <c r="K366" s="18">
        <f t="shared" si="61"/>
        <v>2347.6866415989666</v>
      </c>
      <c r="L366" s="18">
        <f t="shared" si="62"/>
        <v>9469.2640769002992</v>
      </c>
      <c r="M366" s="19">
        <f t="shared" si="63"/>
        <v>2387.0764773272977</v>
      </c>
    </row>
    <row r="367" spans="1:13" x14ac:dyDescent="0.25">
      <c r="A367" s="3">
        <f>IF(B367&lt;&gt;"",357,"")</f>
        <v>357</v>
      </c>
      <c r="B367" s="18">
        <f t="shared" si="64"/>
        <v>5555.5555555588508</v>
      </c>
      <c r="C367" s="18">
        <f t="shared" si="55"/>
        <v>18.518518518529504</v>
      </c>
      <c r="D367" s="18">
        <f t="shared" si="56"/>
        <v>1388.8888888888889</v>
      </c>
      <c r="E367" s="18">
        <f t="shared" si="57"/>
        <v>4166.6666666699621</v>
      </c>
      <c r="F367" s="19">
        <f t="shared" si="58"/>
        <v>1407.4074074074183</v>
      </c>
      <c r="G367" s="20"/>
      <c r="H367" s="3">
        <f t="shared" si="59"/>
        <v>357</v>
      </c>
      <c r="I367" s="18">
        <f t="shared" si="65"/>
        <v>9469.2640769002992</v>
      </c>
      <c r="J367" s="18">
        <f t="shared" si="60"/>
        <v>31.564213589667663</v>
      </c>
      <c r="K367" s="18">
        <f t="shared" si="61"/>
        <v>2355.5122637376298</v>
      </c>
      <c r="L367" s="18">
        <f t="shared" si="62"/>
        <v>7113.7518131626694</v>
      </c>
      <c r="M367" s="19">
        <f t="shared" si="63"/>
        <v>2387.0764773272977</v>
      </c>
    </row>
    <row r="368" spans="1:13" x14ac:dyDescent="0.25">
      <c r="A368" s="3">
        <f>IF(B368&lt;&gt;"",358,"")</f>
        <v>358</v>
      </c>
      <c r="B368" s="18">
        <f t="shared" si="64"/>
        <v>4166.6666666699621</v>
      </c>
      <c r="C368" s="18">
        <f t="shared" si="55"/>
        <v>13.888888888899872</v>
      </c>
      <c r="D368" s="18">
        <f t="shared" si="56"/>
        <v>1388.8888888888889</v>
      </c>
      <c r="E368" s="18">
        <f t="shared" si="57"/>
        <v>2777.7777777810734</v>
      </c>
      <c r="F368" s="19">
        <f t="shared" si="58"/>
        <v>1402.7777777777887</v>
      </c>
      <c r="G368" s="20"/>
      <c r="H368" s="3">
        <f t="shared" si="59"/>
        <v>358</v>
      </c>
      <c r="I368" s="18">
        <f t="shared" si="65"/>
        <v>7113.7518131626694</v>
      </c>
      <c r="J368" s="18">
        <f t="shared" si="60"/>
        <v>23.712506043875564</v>
      </c>
      <c r="K368" s="18">
        <f t="shared" si="61"/>
        <v>2363.363971283422</v>
      </c>
      <c r="L368" s="18">
        <f t="shared" si="62"/>
        <v>4750.3878418792474</v>
      </c>
      <c r="M368" s="19">
        <f t="shared" si="63"/>
        <v>2387.0764773272977</v>
      </c>
    </row>
    <row r="369" spans="1:13" x14ac:dyDescent="0.25">
      <c r="A369" s="3">
        <f>IF(B369&lt;&gt;"",359,"")</f>
        <v>359</v>
      </c>
      <c r="B369" s="18">
        <f t="shared" si="64"/>
        <v>2777.7777777810734</v>
      </c>
      <c r="C369" s="18">
        <f t="shared" si="55"/>
        <v>9.2592592592702445</v>
      </c>
      <c r="D369" s="18">
        <f t="shared" si="56"/>
        <v>1388.8888888888889</v>
      </c>
      <c r="E369" s="18">
        <f t="shared" si="57"/>
        <v>1388.8888888921845</v>
      </c>
      <c r="F369" s="19">
        <f t="shared" si="58"/>
        <v>1398.1481481481592</v>
      </c>
      <c r="G369" s="20"/>
      <c r="H369" s="3">
        <f t="shared" si="59"/>
        <v>359</v>
      </c>
      <c r="I369" s="18">
        <f t="shared" si="65"/>
        <v>4750.3878418792474</v>
      </c>
      <c r="J369" s="18">
        <f t="shared" si="60"/>
        <v>15.834626139597491</v>
      </c>
      <c r="K369" s="18">
        <f t="shared" si="61"/>
        <v>2371.2418511877004</v>
      </c>
      <c r="L369" s="18">
        <f t="shared" si="62"/>
        <v>2379.145990691547</v>
      </c>
      <c r="M369" s="19">
        <f t="shared" si="63"/>
        <v>2387.0764773272977</v>
      </c>
    </row>
    <row r="370" spans="1:13" x14ac:dyDescent="0.25">
      <c r="A370" s="3">
        <f>IF(B370&lt;&gt;"",360,"")</f>
        <v>360</v>
      </c>
      <c r="B370" s="18">
        <f t="shared" si="64"/>
        <v>1388.8888888921845</v>
      </c>
      <c r="C370" s="18">
        <f t="shared" si="55"/>
        <v>4.6296296296406148</v>
      </c>
      <c r="D370" s="18">
        <f t="shared" si="56"/>
        <v>1388.8888888888889</v>
      </c>
      <c r="E370" s="18">
        <f t="shared" si="57"/>
        <v>3.2955540518742055E-9</v>
      </c>
      <c r="F370" s="19">
        <f t="shared" si="58"/>
        <v>1393.5185185185296</v>
      </c>
      <c r="G370" s="20"/>
      <c r="H370" s="3">
        <f t="shared" si="59"/>
        <v>360</v>
      </c>
      <c r="I370" s="18">
        <f t="shared" si="65"/>
        <v>2379.145990691547</v>
      </c>
      <c r="J370" s="18">
        <f t="shared" si="60"/>
        <v>7.9304866356384904</v>
      </c>
      <c r="K370" s="18">
        <f t="shared" si="61"/>
        <v>2379.1459906916593</v>
      </c>
      <c r="L370" s="18">
        <f t="shared" si="62"/>
        <v>-1.1232259566895664E-10</v>
      </c>
      <c r="M370" s="19">
        <f t="shared" si="63"/>
        <v>2387.0764773272977</v>
      </c>
    </row>
    <row r="371" spans="1:13" x14ac:dyDescent="0.25">
      <c r="A371" s="3" t="str">
        <f>IF(B371&lt;&gt;"",361,"")</f>
        <v/>
      </c>
      <c r="B371" s="18" t="str">
        <f t="shared" si="64"/>
        <v/>
      </c>
      <c r="C371" s="18" t="str">
        <f t="shared" si="55"/>
        <v/>
      </c>
      <c r="D371" s="18" t="str">
        <f t="shared" si="56"/>
        <v/>
      </c>
      <c r="E371" s="18" t="str">
        <f t="shared" si="57"/>
        <v/>
      </c>
      <c r="F371" s="19" t="str">
        <f t="shared" si="58"/>
        <v/>
      </c>
      <c r="H371" s="3" t="str">
        <f>A371</f>
        <v/>
      </c>
      <c r="I371" s="18" t="str">
        <f t="shared" si="65"/>
        <v/>
      </c>
      <c r="J371" s="18" t="str">
        <f t="shared" si="60"/>
        <v/>
      </c>
      <c r="K371" s="18" t="str">
        <f t="shared" si="61"/>
        <v/>
      </c>
      <c r="L371" s="18" t="str">
        <f t="shared" si="62"/>
        <v/>
      </c>
      <c r="M371" s="19" t="str">
        <f t="shared" si="63"/>
        <v/>
      </c>
    </row>
    <row r="372" spans="1:13" x14ac:dyDescent="0.25">
      <c r="A372" s="3" t="str">
        <f>IF(B372&lt;&gt;"",362,"")</f>
        <v/>
      </c>
      <c r="B372" s="18" t="str">
        <f t="shared" si="64"/>
        <v/>
      </c>
      <c r="C372" s="18" t="str">
        <f t="shared" si="55"/>
        <v/>
      </c>
      <c r="D372" s="18" t="str">
        <f t="shared" si="56"/>
        <v/>
      </c>
      <c r="E372" s="18" t="str">
        <f t="shared" si="57"/>
        <v/>
      </c>
      <c r="F372" s="19" t="str">
        <f t="shared" si="58"/>
        <v/>
      </c>
      <c r="H372" s="3" t="str">
        <f t="shared" ref="H372:H435" si="66">A372</f>
        <v/>
      </c>
      <c r="I372" s="18" t="str">
        <f t="shared" si="65"/>
        <v/>
      </c>
      <c r="J372" s="18" t="str">
        <f t="shared" si="60"/>
        <v/>
      </c>
      <c r="K372" s="18" t="str">
        <f t="shared" si="61"/>
        <v/>
      </c>
      <c r="L372" s="18" t="str">
        <f t="shared" si="62"/>
        <v/>
      </c>
      <c r="M372" s="19" t="str">
        <f t="shared" si="63"/>
        <v/>
      </c>
    </row>
    <row r="373" spans="1:13" x14ac:dyDescent="0.25">
      <c r="A373" s="3" t="str">
        <f>IF(B373&lt;&gt;"",363,"")</f>
        <v/>
      </c>
      <c r="B373" s="18" t="str">
        <f t="shared" si="64"/>
        <v/>
      </c>
      <c r="C373" s="18" t="str">
        <f t="shared" si="55"/>
        <v/>
      </c>
      <c r="D373" s="18" t="str">
        <f t="shared" si="56"/>
        <v/>
      </c>
      <c r="E373" s="18" t="str">
        <f t="shared" si="57"/>
        <v/>
      </c>
      <c r="F373" s="19" t="str">
        <f t="shared" si="58"/>
        <v/>
      </c>
      <c r="H373" s="3" t="str">
        <f t="shared" si="66"/>
        <v/>
      </c>
      <c r="I373" s="18" t="str">
        <f t="shared" si="65"/>
        <v/>
      </c>
      <c r="J373" s="18" t="str">
        <f t="shared" si="60"/>
        <v/>
      </c>
      <c r="K373" s="18" t="str">
        <f t="shared" si="61"/>
        <v/>
      </c>
      <c r="L373" s="18" t="str">
        <f t="shared" si="62"/>
        <v/>
      </c>
      <c r="M373" s="19" t="str">
        <f t="shared" si="63"/>
        <v/>
      </c>
    </row>
    <row r="374" spans="1:13" x14ac:dyDescent="0.25">
      <c r="A374" s="3" t="str">
        <f>IF(B374&lt;&gt;"",364,"")</f>
        <v/>
      </c>
      <c r="B374" s="18" t="str">
        <f t="shared" si="64"/>
        <v/>
      </c>
      <c r="C374" s="18" t="str">
        <f t="shared" si="55"/>
        <v/>
      </c>
      <c r="D374" s="18" t="str">
        <f t="shared" si="56"/>
        <v/>
      </c>
      <c r="E374" s="18" t="str">
        <f t="shared" si="57"/>
        <v/>
      </c>
      <c r="F374" s="19" t="str">
        <f t="shared" si="58"/>
        <v/>
      </c>
      <c r="H374" s="3" t="str">
        <f t="shared" si="66"/>
        <v/>
      </c>
      <c r="I374" s="18" t="str">
        <f t="shared" si="65"/>
        <v/>
      </c>
      <c r="J374" s="18" t="str">
        <f t="shared" si="60"/>
        <v/>
      </c>
      <c r="K374" s="18" t="str">
        <f t="shared" si="61"/>
        <v/>
      </c>
      <c r="L374" s="18" t="str">
        <f t="shared" si="62"/>
        <v/>
      </c>
      <c r="M374" s="19" t="str">
        <f t="shared" si="63"/>
        <v/>
      </c>
    </row>
    <row r="375" spans="1:13" x14ac:dyDescent="0.25">
      <c r="A375" s="3" t="str">
        <f>IF(B375&lt;&gt;"",365,"")</f>
        <v/>
      </c>
      <c r="B375" s="18" t="str">
        <f t="shared" si="64"/>
        <v/>
      </c>
      <c r="C375" s="18" t="str">
        <f t="shared" si="55"/>
        <v/>
      </c>
      <c r="D375" s="18" t="str">
        <f t="shared" si="56"/>
        <v/>
      </c>
      <c r="E375" s="18" t="str">
        <f t="shared" si="57"/>
        <v/>
      </c>
      <c r="F375" s="19" t="str">
        <f t="shared" si="58"/>
        <v/>
      </c>
      <c r="H375" s="3" t="str">
        <f t="shared" si="66"/>
        <v/>
      </c>
      <c r="I375" s="18" t="str">
        <f t="shared" si="65"/>
        <v/>
      </c>
      <c r="J375" s="18" t="str">
        <f t="shared" si="60"/>
        <v/>
      </c>
      <c r="K375" s="18" t="str">
        <f t="shared" si="61"/>
        <v/>
      </c>
      <c r="L375" s="18" t="str">
        <f t="shared" si="62"/>
        <v/>
      </c>
      <c r="M375" s="19" t="str">
        <f t="shared" si="63"/>
        <v/>
      </c>
    </row>
    <row r="376" spans="1:13" x14ac:dyDescent="0.25">
      <c r="A376" s="3" t="str">
        <f>IF(B376&lt;&gt;"",366,"")</f>
        <v/>
      </c>
      <c r="B376" s="18" t="str">
        <f t="shared" si="64"/>
        <v/>
      </c>
      <c r="C376" s="18" t="str">
        <f t="shared" si="55"/>
        <v/>
      </c>
      <c r="D376" s="18" t="str">
        <f t="shared" si="56"/>
        <v/>
      </c>
      <c r="E376" s="18" t="str">
        <f t="shared" si="57"/>
        <v/>
      </c>
      <c r="F376" s="19" t="str">
        <f t="shared" si="58"/>
        <v/>
      </c>
      <c r="H376" s="3" t="str">
        <f t="shared" si="66"/>
        <v/>
      </c>
      <c r="I376" s="18" t="str">
        <f t="shared" si="65"/>
        <v/>
      </c>
      <c r="J376" s="18" t="str">
        <f t="shared" si="60"/>
        <v/>
      </c>
      <c r="K376" s="18" t="str">
        <f t="shared" si="61"/>
        <v/>
      </c>
      <c r="L376" s="18" t="str">
        <f t="shared" si="62"/>
        <v/>
      </c>
      <c r="M376" s="19" t="str">
        <f t="shared" si="63"/>
        <v/>
      </c>
    </row>
    <row r="377" spans="1:13" x14ac:dyDescent="0.25">
      <c r="A377" s="3" t="str">
        <f>IF(B377&lt;&gt;"",367,"")</f>
        <v/>
      </c>
      <c r="B377" s="18" t="str">
        <f t="shared" si="64"/>
        <v/>
      </c>
      <c r="C377" s="18" t="str">
        <f t="shared" si="55"/>
        <v/>
      </c>
      <c r="D377" s="18" t="str">
        <f t="shared" si="56"/>
        <v/>
      </c>
      <c r="E377" s="18" t="str">
        <f t="shared" si="57"/>
        <v/>
      </c>
      <c r="F377" s="19" t="str">
        <f t="shared" si="58"/>
        <v/>
      </c>
      <c r="H377" s="3" t="str">
        <f t="shared" si="66"/>
        <v/>
      </c>
      <c r="I377" s="18" t="str">
        <f t="shared" si="65"/>
        <v/>
      </c>
      <c r="J377" s="18" t="str">
        <f t="shared" si="60"/>
        <v/>
      </c>
      <c r="K377" s="18" t="str">
        <f t="shared" si="61"/>
        <v/>
      </c>
      <c r="L377" s="18" t="str">
        <f t="shared" si="62"/>
        <v/>
      </c>
      <c r="M377" s="19" t="str">
        <f t="shared" si="63"/>
        <v/>
      </c>
    </row>
    <row r="378" spans="1:13" x14ac:dyDescent="0.25">
      <c r="A378" s="3" t="str">
        <f>IF(B378&lt;&gt;"",368,"")</f>
        <v/>
      </c>
      <c r="B378" s="18" t="str">
        <f t="shared" si="64"/>
        <v/>
      </c>
      <c r="C378" s="18" t="str">
        <f t="shared" si="55"/>
        <v/>
      </c>
      <c r="D378" s="18" t="str">
        <f t="shared" si="56"/>
        <v/>
      </c>
      <c r="E378" s="18" t="str">
        <f t="shared" si="57"/>
        <v/>
      </c>
      <c r="F378" s="19" t="str">
        <f t="shared" si="58"/>
        <v/>
      </c>
      <c r="H378" s="3" t="str">
        <f t="shared" si="66"/>
        <v/>
      </c>
      <c r="I378" s="18" t="str">
        <f t="shared" si="65"/>
        <v/>
      </c>
      <c r="J378" s="18" t="str">
        <f t="shared" si="60"/>
        <v/>
      </c>
      <c r="K378" s="18" t="str">
        <f t="shared" si="61"/>
        <v/>
      </c>
      <c r="L378" s="18" t="str">
        <f t="shared" si="62"/>
        <v/>
      </c>
      <c r="M378" s="19" t="str">
        <f t="shared" si="63"/>
        <v/>
      </c>
    </row>
    <row r="379" spans="1:13" x14ac:dyDescent="0.25">
      <c r="A379" s="3" t="str">
        <f>IF(B379&lt;&gt;"",369,"")</f>
        <v/>
      </c>
      <c r="B379" s="18" t="str">
        <f t="shared" si="64"/>
        <v/>
      </c>
      <c r="C379" s="18" t="str">
        <f t="shared" si="55"/>
        <v/>
      </c>
      <c r="D379" s="18" t="str">
        <f t="shared" si="56"/>
        <v/>
      </c>
      <c r="E379" s="18" t="str">
        <f t="shared" si="57"/>
        <v/>
      </c>
      <c r="F379" s="19" t="str">
        <f t="shared" si="58"/>
        <v/>
      </c>
      <c r="H379" s="3" t="str">
        <f t="shared" si="66"/>
        <v/>
      </c>
      <c r="I379" s="18" t="str">
        <f t="shared" si="65"/>
        <v/>
      </c>
      <c r="J379" s="18" t="str">
        <f t="shared" si="60"/>
        <v/>
      </c>
      <c r="K379" s="18" t="str">
        <f t="shared" si="61"/>
        <v/>
      </c>
      <c r="L379" s="18" t="str">
        <f t="shared" si="62"/>
        <v/>
      </c>
      <c r="M379" s="19" t="str">
        <f t="shared" si="63"/>
        <v/>
      </c>
    </row>
    <row r="380" spans="1:13" x14ac:dyDescent="0.25">
      <c r="A380" s="3" t="str">
        <f>IF(B380&lt;&gt;"",370,"")</f>
        <v/>
      </c>
      <c r="B380" s="18" t="str">
        <f t="shared" si="64"/>
        <v/>
      </c>
      <c r="C380" s="18" t="str">
        <f t="shared" si="55"/>
        <v/>
      </c>
      <c r="D380" s="18" t="str">
        <f t="shared" si="56"/>
        <v/>
      </c>
      <c r="E380" s="18" t="str">
        <f t="shared" si="57"/>
        <v/>
      </c>
      <c r="F380" s="19" t="str">
        <f t="shared" si="58"/>
        <v/>
      </c>
      <c r="H380" s="3" t="str">
        <f t="shared" si="66"/>
        <v/>
      </c>
      <c r="I380" s="18" t="str">
        <f t="shared" si="65"/>
        <v/>
      </c>
      <c r="J380" s="18" t="str">
        <f t="shared" si="60"/>
        <v/>
      </c>
      <c r="K380" s="18" t="str">
        <f t="shared" si="61"/>
        <v/>
      </c>
      <c r="L380" s="18" t="str">
        <f t="shared" si="62"/>
        <v/>
      </c>
      <c r="M380" s="19" t="str">
        <f t="shared" si="63"/>
        <v/>
      </c>
    </row>
    <row r="381" spans="1:13" x14ac:dyDescent="0.25">
      <c r="A381" s="3" t="str">
        <f>IF(B381&lt;&gt;"",371,"")</f>
        <v/>
      </c>
      <c r="B381" s="18" t="str">
        <f t="shared" si="64"/>
        <v/>
      </c>
      <c r="C381" s="18" t="str">
        <f t="shared" si="55"/>
        <v/>
      </c>
      <c r="D381" s="18" t="str">
        <f t="shared" si="56"/>
        <v/>
      </c>
      <c r="E381" s="18" t="str">
        <f t="shared" si="57"/>
        <v/>
      </c>
      <c r="F381" s="19" t="str">
        <f t="shared" si="58"/>
        <v/>
      </c>
      <c r="H381" s="3" t="str">
        <f t="shared" si="66"/>
        <v/>
      </c>
      <c r="I381" s="18" t="str">
        <f t="shared" si="65"/>
        <v/>
      </c>
      <c r="J381" s="18" t="str">
        <f t="shared" si="60"/>
        <v/>
      </c>
      <c r="K381" s="18" t="str">
        <f t="shared" si="61"/>
        <v/>
      </c>
      <c r="L381" s="18" t="str">
        <f t="shared" si="62"/>
        <v/>
      </c>
      <c r="M381" s="19" t="str">
        <f t="shared" si="63"/>
        <v/>
      </c>
    </row>
    <row r="382" spans="1:13" x14ac:dyDescent="0.25">
      <c r="A382" s="3" t="str">
        <f>IF(B382&lt;&gt;"",372,"")</f>
        <v/>
      </c>
      <c r="B382" s="18" t="str">
        <f t="shared" si="64"/>
        <v/>
      </c>
      <c r="C382" s="18" t="str">
        <f t="shared" si="55"/>
        <v/>
      </c>
      <c r="D382" s="18" t="str">
        <f t="shared" si="56"/>
        <v/>
      </c>
      <c r="E382" s="18" t="str">
        <f t="shared" si="57"/>
        <v/>
      </c>
      <c r="F382" s="19" t="str">
        <f t="shared" si="58"/>
        <v/>
      </c>
      <c r="H382" s="3" t="str">
        <f t="shared" si="66"/>
        <v/>
      </c>
      <c r="I382" s="18" t="str">
        <f t="shared" si="65"/>
        <v/>
      </c>
      <c r="J382" s="18" t="str">
        <f t="shared" si="60"/>
        <v/>
      </c>
      <c r="K382" s="18" t="str">
        <f t="shared" si="61"/>
        <v/>
      </c>
      <c r="L382" s="18" t="str">
        <f t="shared" si="62"/>
        <v/>
      </c>
      <c r="M382" s="19" t="str">
        <f t="shared" si="63"/>
        <v/>
      </c>
    </row>
    <row r="383" spans="1:13" x14ac:dyDescent="0.25">
      <c r="A383" s="3" t="str">
        <f>IF(B383&lt;&gt;"",373,"")</f>
        <v/>
      </c>
      <c r="B383" s="18" t="str">
        <f t="shared" si="64"/>
        <v/>
      </c>
      <c r="C383" s="18" t="str">
        <f t="shared" si="55"/>
        <v/>
      </c>
      <c r="D383" s="18" t="str">
        <f t="shared" si="56"/>
        <v/>
      </c>
      <c r="E383" s="18" t="str">
        <f t="shared" si="57"/>
        <v/>
      </c>
      <c r="F383" s="19" t="str">
        <f t="shared" si="58"/>
        <v/>
      </c>
      <c r="H383" s="3" t="str">
        <f t="shared" si="66"/>
        <v/>
      </c>
      <c r="I383" s="18" t="str">
        <f t="shared" si="65"/>
        <v/>
      </c>
      <c r="J383" s="18" t="str">
        <f t="shared" si="60"/>
        <v/>
      </c>
      <c r="K383" s="18" t="str">
        <f t="shared" si="61"/>
        <v/>
      </c>
      <c r="L383" s="18" t="str">
        <f t="shared" si="62"/>
        <v/>
      </c>
      <c r="M383" s="19" t="str">
        <f t="shared" si="63"/>
        <v/>
      </c>
    </row>
    <row r="384" spans="1:13" x14ac:dyDescent="0.25">
      <c r="A384" s="3" t="str">
        <f>IF(B384&lt;&gt;"",374,"")</f>
        <v/>
      </c>
      <c r="B384" s="18" t="str">
        <f t="shared" si="64"/>
        <v/>
      </c>
      <c r="C384" s="18" t="str">
        <f t="shared" si="55"/>
        <v/>
      </c>
      <c r="D384" s="18" t="str">
        <f t="shared" si="56"/>
        <v/>
      </c>
      <c r="E384" s="18" t="str">
        <f t="shared" si="57"/>
        <v/>
      </c>
      <c r="F384" s="19" t="str">
        <f t="shared" si="58"/>
        <v/>
      </c>
      <c r="H384" s="3" t="str">
        <f t="shared" si="66"/>
        <v/>
      </c>
      <c r="I384" s="18" t="str">
        <f t="shared" si="65"/>
        <v/>
      </c>
      <c r="J384" s="18" t="str">
        <f t="shared" si="60"/>
        <v/>
      </c>
      <c r="K384" s="18" t="str">
        <f t="shared" si="61"/>
        <v/>
      </c>
      <c r="L384" s="18" t="str">
        <f t="shared" si="62"/>
        <v/>
      </c>
      <c r="M384" s="19" t="str">
        <f t="shared" si="63"/>
        <v/>
      </c>
    </row>
    <row r="385" spans="1:13" x14ac:dyDescent="0.25">
      <c r="A385" s="3" t="str">
        <f>IF(B385&lt;&gt;"",375,"")</f>
        <v/>
      </c>
      <c r="B385" s="18" t="str">
        <f t="shared" si="64"/>
        <v/>
      </c>
      <c r="C385" s="18" t="str">
        <f t="shared" si="55"/>
        <v/>
      </c>
      <c r="D385" s="18" t="str">
        <f t="shared" si="56"/>
        <v/>
      </c>
      <c r="E385" s="18" t="str">
        <f t="shared" si="57"/>
        <v/>
      </c>
      <c r="F385" s="19" t="str">
        <f t="shared" si="58"/>
        <v/>
      </c>
      <c r="H385" s="3" t="str">
        <f t="shared" si="66"/>
        <v/>
      </c>
      <c r="I385" s="18" t="str">
        <f t="shared" si="65"/>
        <v/>
      </c>
      <c r="J385" s="18" t="str">
        <f t="shared" si="60"/>
        <v/>
      </c>
      <c r="K385" s="18" t="str">
        <f t="shared" si="61"/>
        <v/>
      </c>
      <c r="L385" s="18" t="str">
        <f t="shared" si="62"/>
        <v/>
      </c>
      <c r="M385" s="19" t="str">
        <f t="shared" si="63"/>
        <v/>
      </c>
    </row>
    <row r="386" spans="1:13" x14ac:dyDescent="0.25">
      <c r="A386" s="3" t="str">
        <f>IF(B386&lt;&gt;"",376,"")</f>
        <v/>
      </c>
      <c r="B386" s="18" t="str">
        <f t="shared" si="64"/>
        <v/>
      </c>
      <c r="C386" s="18" t="str">
        <f t="shared" si="55"/>
        <v/>
      </c>
      <c r="D386" s="18" t="str">
        <f t="shared" si="56"/>
        <v/>
      </c>
      <c r="E386" s="18" t="str">
        <f t="shared" si="57"/>
        <v/>
      </c>
      <c r="F386" s="19" t="str">
        <f t="shared" si="58"/>
        <v/>
      </c>
      <c r="H386" s="3" t="str">
        <f t="shared" si="66"/>
        <v/>
      </c>
      <c r="I386" s="18" t="str">
        <f t="shared" si="65"/>
        <v/>
      </c>
      <c r="J386" s="18" t="str">
        <f t="shared" si="60"/>
        <v/>
      </c>
      <c r="K386" s="18" t="str">
        <f t="shared" si="61"/>
        <v/>
      </c>
      <c r="L386" s="18" t="str">
        <f t="shared" si="62"/>
        <v/>
      </c>
      <c r="M386" s="19" t="str">
        <f t="shared" si="63"/>
        <v/>
      </c>
    </row>
    <row r="387" spans="1:13" x14ac:dyDescent="0.25">
      <c r="A387" s="3" t="str">
        <f>IF(B387&lt;&gt;"",377,"")</f>
        <v/>
      </c>
      <c r="B387" s="18" t="str">
        <f t="shared" si="64"/>
        <v/>
      </c>
      <c r="C387" s="18" t="str">
        <f t="shared" si="55"/>
        <v/>
      </c>
      <c r="D387" s="18" t="str">
        <f t="shared" si="56"/>
        <v/>
      </c>
      <c r="E387" s="18" t="str">
        <f t="shared" si="57"/>
        <v/>
      </c>
      <c r="F387" s="19" t="str">
        <f t="shared" si="58"/>
        <v/>
      </c>
      <c r="H387" s="3" t="str">
        <f t="shared" si="66"/>
        <v/>
      </c>
      <c r="I387" s="18" t="str">
        <f t="shared" si="65"/>
        <v/>
      </c>
      <c r="J387" s="18" t="str">
        <f t="shared" si="60"/>
        <v/>
      </c>
      <c r="K387" s="18" t="str">
        <f t="shared" si="61"/>
        <v/>
      </c>
      <c r="L387" s="18" t="str">
        <f t="shared" si="62"/>
        <v/>
      </c>
      <c r="M387" s="19" t="str">
        <f t="shared" si="63"/>
        <v/>
      </c>
    </row>
    <row r="388" spans="1:13" x14ac:dyDescent="0.25">
      <c r="A388" s="3" t="str">
        <f>IF(B388&lt;&gt;"",378,"")</f>
        <v/>
      </c>
      <c r="B388" s="18" t="str">
        <f t="shared" si="64"/>
        <v/>
      </c>
      <c r="C388" s="18" t="str">
        <f t="shared" si="55"/>
        <v/>
      </c>
      <c r="D388" s="18" t="str">
        <f t="shared" si="56"/>
        <v/>
      </c>
      <c r="E388" s="18" t="str">
        <f t="shared" si="57"/>
        <v/>
      </c>
      <c r="F388" s="19" t="str">
        <f t="shared" si="58"/>
        <v/>
      </c>
      <c r="H388" s="3" t="str">
        <f t="shared" si="66"/>
        <v/>
      </c>
      <c r="I388" s="18" t="str">
        <f t="shared" si="65"/>
        <v/>
      </c>
      <c r="J388" s="18" t="str">
        <f t="shared" si="60"/>
        <v/>
      </c>
      <c r="K388" s="18" t="str">
        <f t="shared" si="61"/>
        <v/>
      </c>
      <c r="L388" s="18" t="str">
        <f t="shared" si="62"/>
        <v/>
      </c>
      <c r="M388" s="19" t="str">
        <f t="shared" si="63"/>
        <v/>
      </c>
    </row>
    <row r="389" spans="1:13" x14ac:dyDescent="0.25">
      <c r="A389" s="3" t="str">
        <f>IF(B389&lt;&gt;"",379,"")</f>
        <v/>
      </c>
      <c r="B389" s="18" t="str">
        <f t="shared" si="64"/>
        <v/>
      </c>
      <c r="C389" s="18" t="str">
        <f t="shared" si="55"/>
        <v/>
      </c>
      <c r="D389" s="18" t="str">
        <f t="shared" si="56"/>
        <v/>
      </c>
      <c r="E389" s="18" t="str">
        <f t="shared" si="57"/>
        <v/>
      </c>
      <c r="F389" s="19" t="str">
        <f t="shared" si="58"/>
        <v/>
      </c>
      <c r="H389" s="3" t="str">
        <f t="shared" si="66"/>
        <v/>
      </c>
      <c r="I389" s="18" t="str">
        <f t="shared" si="65"/>
        <v/>
      </c>
      <c r="J389" s="18" t="str">
        <f t="shared" si="60"/>
        <v/>
      </c>
      <c r="K389" s="18" t="str">
        <f t="shared" si="61"/>
        <v/>
      </c>
      <c r="L389" s="18" t="str">
        <f t="shared" si="62"/>
        <v/>
      </c>
      <c r="M389" s="19" t="str">
        <f t="shared" si="63"/>
        <v/>
      </c>
    </row>
    <row r="390" spans="1:13" x14ac:dyDescent="0.25">
      <c r="A390" s="3" t="str">
        <f>IF(B390&lt;&gt;"",380,"")</f>
        <v/>
      </c>
      <c r="B390" s="18" t="str">
        <f t="shared" si="64"/>
        <v/>
      </c>
      <c r="C390" s="18" t="str">
        <f t="shared" si="55"/>
        <v/>
      </c>
      <c r="D390" s="18" t="str">
        <f t="shared" si="56"/>
        <v/>
      </c>
      <c r="E390" s="18" t="str">
        <f t="shared" si="57"/>
        <v/>
      </c>
      <c r="F390" s="19" t="str">
        <f t="shared" si="58"/>
        <v/>
      </c>
      <c r="H390" s="3" t="str">
        <f t="shared" si="66"/>
        <v/>
      </c>
      <c r="I390" s="18" t="str">
        <f t="shared" si="65"/>
        <v/>
      </c>
      <c r="J390" s="18" t="str">
        <f t="shared" si="60"/>
        <v/>
      </c>
      <c r="K390" s="18" t="str">
        <f t="shared" si="61"/>
        <v/>
      </c>
      <c r="L390" s="18" t="str">
        <f t="shared" si="62"/>
        <v/>
      </c>
      <c r="M390" s="19" t="str">
        <f t="shared" si="63"/>
        <v/>
      </c>
    </row>
    <row r="391" spans="1:13" x14ac:dyDescent="0.25">
      <c r="A391" s="3" t="str">
        <f>IF(B391&lt;&gt;"",381,"")</f>
        <v/>
      </c>
      <c r="B391" s="18" t="str">
        <f t="shared" si="64"/>
        <v/>
      </c>
      <c r="C391" s="18" t="str">
        <f t="shared" si="55"/>
        <v/>
      </c>
      <c r="D391" s="18" t="str">
        <f t="shared" si="56"/>
        <v/>
      </c>
      <c r="E391" s="18" t="str">
        <f t="shared" si="57"/>
        <v/>
      </c>
      <c r="F391" s="19" t="str">
        <f t="shared" si="58"/>
        <v/>
      </c>
      <c r="H391" s="3" t="str">
        <f t="shared" si="66"/>
        <v/>
      </c>
      <c r="I391" s="18" t="str">
        <f t="shared" si="65"/>
        <v/>
      </c>
      <c r="J391" s="18" t="str">
        <f t="shared" si="60"/>
        <v/>
      </c>
      <c r="K391" s="18" t="str">
        <f t="shared" si="61"/>
        <v/>
      </c>
      <c r="L391" s="18" t="str">
        <f t="shared" si="62"/>
        <v/>
      </c>
      <c r="M391" s="19" t="str">
        <f t="shared" si="63"/>
        <v/>
      </c>
    </row>
    <row r="392" spans="1:13" x14ac:dyDescent="0.25">
      <c r="A392" s="3" t="str">
        <f>IF(B392&lt;&gt;"",382,"")</f>
        <v/>
      </c>
      <c r="B392" s="18" t="str">
        <f t="shared" si="64"/>
        <v/>
      </c>
      <c r="C392" s="18" t="str">
        <f t="shared" si="55"/>
        <v/>
      </c>
      <c r="D392" s="18" t="str">
        <f t="shared" si="56"/>
        <v/>
      </c>
      <c r="E392" s="18" t="str">
        <f t="shared" si="57"/>
        <v/>
      </c>
      <c r="F392" s="19" t="str">
        <f t="shared" si="58"/>
        <v/>
      </c>
      <c r="H392" s="3" t="str">
        <f t="shared" si="66"/>
        <v/>
      </c>
      <c r="I392" s="18" t="str">
        <f t="shared" si="65"/>
        <v/>
      </c>
      <c r="J392" s="18" t="str">
        <f t="shared" si="60"/>
        <v/>
      </c>
      <c r="K392" s="18" t="str">
        <f t="shared" si="61"/>
        <v/>
      </c>
      <c r="L392" s="18" t="str">
        <f t="shared" si="62"/>
        <v/>
      </c>
      <c r="M392" s="19" t="str">
        <f t="shared" si="63"/>
        <v/>
      </c>
    </row>
    <row r="393" spans="1:13" x14ac:dyDescent="0.25">
      <c r="A393" s="3" t="str">
        <f>IF(B393&lt;&gt;"",383,"")</f>
        <v/>
      </c>
      <c r="B393" s="18" t="str">
        <f t="shared" si="64"/>
        <v/>
      </c>
      <c r="C393" s="18" t="str">
        <f t="shared" si="55"/>
        <v/>
      </c>
      <c r="D393" s="18" t="str">
        <f t="shared" si="56"/>
        <v/>
      </c>
      <c r="E393" s="18" t="str">
        <f t="shared" si="57"/>
        <v/>
      </c>
      <c r="F393" s="19" t="str">
        <f t="shared" si="58"/>
        <v/>
      </c>
      <c r="H393" s="3" t="str">
        <f t="shared" si="66"/>
        <v/>
      </c>
      <c r="I393" s="18" t="str">
        <f t="shared" si="65"/>
        <v/>
      </c>
      <c r="J393" s="18" t="str">
        <f t="shared" si="60"/>
        <v/>
      </c>
      <c r="K393" s="18" t="str">
        <f t="shared" si="61"/>
        <v/>
      </c>
      <c r="L393" s="18" t="str">
        <f t="shared" si="62"/>
        <v/>
      </c>
      <c r="M393" s="19" t="str">
        <f t="shared" si="63"/>
        <v/>
      </c>
    </row>
    <row r="394" spans="1:13" x14ac:dyDescent="0.25">
      <c r="A394" s="3" t="str">
        <f>IF(B394&lt;&gt;"",384,"")</f>
        <v/>
      </c>
      <c r="B394" s="18" t="str">
        <f t="shared" si="64"/>
        <v/>
      </c>
      <c r="C394" s="18" t="str">
        <f t="shared" si="55"/>
        <v/>
      </c>
      <c r="D394" s="18" t="str">
        <f t="shared" si="56"/>
        <v/>
      </c>
      <c r="E394" s="18" t="str">
        <f t="shared" si="57"/>
        <v/>
      </c>
      <c r="F394" s="19" t="str">
        <f t="shared" si="58"/>
        <v/>
      </c>
      <c r="H394" s="3" t="str">
        <f t="shared" si="66"/>
        <v/>
      </c>
      <c r="I394" s="18" t="str">
        <f t="shared" si="65"/>
        <v/>
      </c>
      <c r="J394" s="18" t="str">
        <f t="shared" si="60"/>
        <v/>
      </c>
      <c r="K394" s="18" t="str">
        <f t="shared" si="61"/>
        <v/>
      </c>
      <c r="L394" s="18" t="str">
        <f t="shared" si="62"/>
        <v/>
      </c>
      <c r="M394" s="19" t="str">
        <f t="shared" si="63"/>
        <v/>
      </c>
    </row>
    <row r="395" spans="1:13" x14ac:dyDescent="0.25">
      <c r="A395" s="3" t="str">
        <f>IF(B395&lt;&gt;"",385,"")</f>
        <v/>
      </c>
      <c r="B395" s="18" t="str">
        <f t="shared" si="64"/>
        <v/>
      </c>
      <c r="C395" s="18" t="str">
        <f t="shared" si="55"/>
        <v/>
      </c>
      <c r="D395" s="18" t="str">
        <f t="shared" si="56"/>
        <v/>
      </c>
      <c r="E395" s="18" t="str">
        <f t="shared" si="57"/>
        <v/>
      </c>
      <c r="F395" s="19" t="str">
        <f t="shared" si="58"/>
        <v/>
      </c>
      <c r="H395" s="3" t="str">
        <f t="shared" si="66"/>
        <v/>
      </c>
      <c r="I395" s="18" t="str">
        <f t="shared" si="65"/>
        <v/>
      </c>
      <c r="J395" s="18" t="str">
        <f t="shared" si="60"/>
        <v/>
      </c>
      <c r="K395" s="18" t="str">
        <f t="shared" si="61"/>
        <v/>
      </c>
      <c r="L395" s="18" t="str">
        <f t="shared" si="62"/>
        <v/>
      </c>
      <c r="M395" s="19" t="str">
        <f t="shared" si="63"/>
        <v/>
      </c>
    </row>
    <row r="396" spans="1:13" x14ac:dyDescent="0.25">
      <c r="A396" s="3" t="str">
        <f>IF(B396&lt;&gt;"",386,"")</f>
        <v/>
      </c>
      <c r="B396" s="18" t="str">
        <f t="shared" si="64"/>
        <v/>
      </c>
      <c r="C396" s="18" t="str">
        <f t="shared" ref="C396:C459" si="67">IFERROR(B396*$G$4/12,"")</f>
        <v/>
      </c>
      <c r="D396" s="18" t="str">
        <f t="shared" ref="D396:D459" si="68">IF(A396&lt;&gt;"",$G$3/$G$5,"")</f>
        <v/>
      </c>
      <c r="E396" s="18" t="str">
        <f t="shared" ref="E396:E459" si="69">IF(A396&lt;&gt;"",B396-D396,"")</f>
        <v/>
      </c>
      <c r="F396" s="19" t="str">
        <f t="shared" ref="F396:F459" si="70">IF(A396&lt;&gt;"",C396+D396,"")</f>
        <v/>
      </c>
      <c r="H396" s="3" t="str">
        <f t="shared" si="66"/>
        <v/>
      </c>
      <c r="I396" s="18" t="str">
        <f t="shared" si="65"/>
        <v/>
      </c>
      <c r="J396" s="18" t="str">
        <f t="shared" ref="J396:J459" si="71">IFERROR(I396*$G$4/12,"")</f>
        <v/>
      </c>
      <c r="K396" s="18" t="str">
        <f t="shared" ref="K396:K459" si="72">IFERROR(M396-J396,"")</f>
        <v/>
      </c>
      <c r="L396" s="18" t="str">
        <f t="shared" ref="L396:L459" si="73">IFERROR(I396-K396,"")</f>
        <v/>
      </c>
      <c r="M396" s="19" t="str">
        <f t="shared" ref="M396:M459" si="74">IF(H396&lt;&gt;"",-PMT($G$4/12,$G$5,$G$3),"")</f>
        <v/>
      </c>
    </row>
    <row r="397" spans="1:13" x14ac:dyDescent="0.25">
      <c r="A397" s="3" t="str">
        <f>IF(B397&lt;&gt;"",387,"")</f>
        <v/>
      </c>
      <c r="B397" s="18" t="str">
        <f t="shared" ref="B397:B460" si="75">IFERROR(IF(B396-D396&gt;=0.01,B396-D396,""),"")</f>
        <v/>
      </c>
      <c r="C397" s="18" t="str">
        <f t="shared" si="67"/>
        <v/>
      </c>
      <c r="D397" s="18" t="str">
        <f t="shared" si="68"/>
        <v/>
      </c>
      <c r="E397" s="18" t="str">
        <f t="shared" si="69"/>
        <v/>
      </c>
      <c r="F397" s="19" t="str">
        <f t="shared" si="70"/>
        <v/>
      </c>
      <c r="H397" s="3" t="str">
        <f t="shared" si="66"/>
        <v/>
      </c>
      <c r="I397" s="18" t="str">
        <f t="shared" ref="I397:I460" si="76">IFERROR(IF(I396-K396&gt;=0.01,I396-K396,""),"")</f>
        <v/>
      </c>
      <c r="J397" s="18" t="str">
        <f t="shared" si="71"/>
        <v/>
      </c>
      <c r="K397" s="18" t="str">
        <f t="shared" si="72"/>
        <v/>
      </c>
      <c r="L397" s="18" t="str">
        <f t="shared" si="73"/>
        <v/>
      </c>
      <c r="M397" s="19" t="str">
        <f t="shared" si="74"/>
        <v/>
      </c>
    </row>
    <row r="398" spans="1:13" x14ac:dyDescent="0.25">
      <c r="A398" s="3" t="str">
        <f>IF(B398&lt;&gt;"",388,"")</f>
        <v/>
      </c>
      <c r="B398" s="18" t="str">
        <f t="shared" si="75"/>
        <v/>
      </c>
      <c r="C398" s="18" t="str">
        <f t="shared" si="67"/>
        <v/>
      </c>
      <c r="D398" s="18" t="str">
        <f t="shared" si="68"/>
        <v/>
      </c>
      <c r="E398" s="18" t="str">
        <f t="shared" si="69"/>
        <v/>
      </c>
      <c r="F398" s="19" t="str">
        <f t="shared" si="70"/>
        <v/>
      </c>
      <c r="H398" s="3" t="str">
        <f t="shared" si="66"/>
        <v/>
      </c>
      <c r="I398" s="18" t="str">
        <f t="shared" si="76"/>
        <v/>
      </c>
      <c r="J398" s="18" t="str">
        <f t="shared" si="71"/>
        <v/>
      </c>
      <c r="K398" s="18" t="str">
        <f t="shared" si="72"/>
        <v/>
      </c>
      <c r="L398" s="18" t="str">
        <f t="shared" si="73"/>
        <v/>
      </c>
      <c r="M398" s="19" t="str">
        <f t="shared" si="74"/>
        <v/>
      </c>
    </row>
    <row r="399" spans="1:13" x14ac:dyDescent="0.25">
      <c r="A399" s="3" t="str">
        <f>IF(B399&lt;&gt;"",389,"")</f>
        <v/>
      </c>
      <c r="B399" s="18" t="str">
        <f t="shared" si="75"/>
        <v/>
      </c>
      <c r="C399" s="18" t="str">
        <f t="shared" si="67"/>
        <v/>
      </c>
      <c r="D399" s="18" t="str">
        <f t="shared" si="68"/>
        <v/>
      </c>
      <c r="E399" s="18" t="str">
        <f t="shared" si="69"/>
        <v/>
      </c>
      <c r="F399" s="19" t="str">
        <f t="shared" si="70"/>
        <v/>
      </c>
      <c r="H399" s="3" t="str">
        <f t="shared" si="66"/>
        <v/>
      </c>
      <c r="I399" s="18" t="str">
        <f t="shared" si="76"/>
        <v/>
      </c>
      <c r="J399" s="18" t="str">
        <f t="shared" si="71"/>
        <v/>
      </c>
      <c r="K399" s="18" t="str">
        <f t="shared" si="72"/>
        <v/>
      </c>
      <c r="L399" s="18" t="str">
        <f t="shared" si="73"/>
        <v/>
      </c>
      <c r="M399" s="19" t="str">
        <f t="shared" si="74"/>
        <v/>
      </c>
    </row>
    <row r="400" spans="1:13" x14ac:dyDescent="0.25">
      <c r="A400" s="3" t="str">
        <f>IF(B400&lt;&gt;"",390,"")</f>
        <v/>
      </c>
      <c r="B400" s="18" t="str">
        <f t="shared" si="75"/>
        <v/>
      </c>
      <c r="C400" s="18" t="str">
        <f t="shared" si="67"/>
        <v/>
      </c>
      <c r="D400" s="18" t="str">
        <f t="shared" si="68"/>
        <v/>
      </c>
      <c r="E400" s="18" t="str">
        <f t="shared" si="69"/>
        <v/>
      </c>
      <c r="F400" s="19" t="str">
        <f t="shared" si="70"/>
        <v/>
      </c>
      <c r="H400" s="3" t="str">
        <f t="shared" si="66"/>
        <v/>
      </c>
      <c r="I400" s="18" t="str">
        <f t="shared" si="76"/>
        <v/>
      </c>
      <c r="J400" s="18" t="str">
        <f t="shared" si="71"/>
        <v/>
      </c>
      <c r="K400" s="18" t="str">
        <f t="shared" si="72"/>
        <v/>
      </c>
      <c r="L400" s="18" t="str">
        <f t="shared" si="73"/>
        <v/>
      </c>
      <c r="M400" s="19" t="str">
        <f t="shared" si="74"/>
        <v/>
      </c>
    </row>
    <row r="401" spans="1:13" x14ac:dyDescent="0.25">
      <c r="A401" s="3" t="str">
        <f>IF(B401&lt;&gt;"",391,"")</f>
        <v/>
      </c>
      <c r="B401" s="18" t="str">
        <f t="shared" si="75"/>
        <v/>
      </c>
      <c r="C401" s="18" t="str">
        <f t="shared" si="67"/>
        <v/>
      </c>
      <c r="D401" s="18" t="str">
        <f t="shared" si="68"/>
        <v/>
      </c>
      <c r="E401" s="18" t="str">
        <f t="shared" si="69"/>
        <v/>
      </c>
      <c r="F401" s="19" t="str">
        <f t="shared" si="70"/>
        <v/>
      </c>
      <c r="H401" s="3" t="str">
        <f t="shared" si="66"/>
        <v/>
      </c>
      <c r="I401" s="18" t="str">
        <f t="shared" si="76"/>
        <v/>
      </c>
      <c r="J401" s="18" t="str">
        <f t="shared" si="71"/>
        <v/>
      </c>
      <c r="K401" s="18" t="str">
        <f t="shared" si="72"/>
        <v/>
      </c>
      <c r="L401" s="18" t="str">
        <f t="shared" si="73"/>
        <v/>
      </c>
      <c r="M401" s="19" t="str">
        <f t="shared" si="74"/>
        <v/>
      </c>
    </row>
    <row r="402" spans="1:13" x14ac:dyDescent="0.25">
      <c r="A402" s="3" t="str">
        <f>IF(B402&lt;&gt;"",392,"")</f>
        <v/>
      </c>
      <c r="B402" s="18" t="str">
        <f t="shared" si="75"/>
        <v/>
      </c>
      <c r="C402" s="18" t="str">
        <f t="shared" si="67"/>
        <v/>
      </c>
      <c r="D402" s="18" t="str">
        <f t="shared" si="68"/>
        <v/>
      </c>
      <c r="E402" s="18" t="str">
        <f t="shared" si="69"/>
        <v/>
      </c>
      <c r="F402" s="19" t="str">
        <f t="shared" si="70"/>
        <v/>
      </c>
      <c r="H402" s="3" t="str">
        <f t="shared" si="66"/>
        <v/>
      </c>
      <c r="I402" s="18" t="str">
        <f t="shared" si="76"/>
        <v/>
      </c>
      <c r="J402" s="18" t="str">
        <f t="shared" si="71"/>
        <v/>
      </c>
      <c r="K402" s="18" t="str">
        <f t="shared" si="72"/>
        <v/>
      </c>
      <c r="L402" s="18" t="str">
        <f t="shared" si="73"/>
        <v/>
      </c>
      <c r="M402" s="19" t="str">
        <f t="shared" si="74"/>
        <v/>
      </c>
    </row>
    <row r="403" spans="1:13" x14ac:dyDescent="0.25">
      <c r="A403" s="3" t="str">
        <f>IF(B403&lt;&gt;"",393,"")</f>
        <v/>
      </c>
      <c r="B403" s="18" t="str">
        <f t="shared" si="75"/>
        <v/>
      </c>
      <c r="C403" s="18" t="str">
        <f t="shared" si="67"/>
        <v/>
      </c>
      <c r="D403" s="18" t="str">
        <f t="shared" si="68"/>
        <v/>
      </c>
      <c r="E403" s="18" t="str">
        <f t="shared" si="69"/>
        <v/>
      </c>
      <c r="F403" s="19" t="str">
        <f t="shared" si="70"/>
        <v/>
      </c>
      <c r="H403" s="3" t="str">
        <f t="shared" si="66"/>
        <v/>
      </c>
      <c r="I403" s="18" t="str">
        <f t="shared" si="76"/>
        <v/>
      </c>
      <c r="J403" s="18" t="str">
        <f t="shared" si="71"/>
        <v/>
      </c>
      <c r="K403" s="18" t="str">
        <f t="shared" si="72"/>
        <v/>
      </c>
      <c r="L403" s="18" t="str">
        <f t="shared" si="73"/>
        <v/>
      </c>
      <c r="M403" s="19" t="str">
        <f t="shared" si="74"/>
        <v/>
      </c>
    </row>
    <row r="404" spans="1:13" x14ac:dyDescent="0.25">
      <c r="A404" s="3" t="str">
        <f>IF(B404&lt;&gt;"",394,"")</f>
        <v/>
      </c>
      <c r="B404" s="18" t="str">
        <f t="shared" si="75"/>
        <v/>
      </c>
      <c r="C404" s="18" t="str">
        <f t="shared" si="67"/>
        <v/>
      </c>
      <c r="D404" s="18" t="str">
        <f t="shared" si="68"/>
        <v/>
      </c>
      <c r="E404" s="18" t="str">
        <f t="shared" si="69"/>
        <v/>
      </c>
      <c r="F404" s="19" t="str">
        <f t="shared" si="70"/>
        <v/>
      </c>
      <c r="H404" s="3" t="str">
        <f t="shared" si="66"/>
        <v/>
      </c>
      <c r="I404" s="18" t="str">
        <f t="shared" si="76"/>
        <v/>
      </c>
      <c r="J404" s="18" t="str">
        <f t="shared" si="71"/>
        <v/>
      </c>
      <c r="K404" s="18" t="str">
        <f t="shared" si="72"/>
        <v/>
      </c>
      <c r="L404" s="18" t="str">
        <f t="shared" si="73"/>
        <v/>
      </c>
      <c r="M404" s="19" t="str">
        <f t="shared" si="74"/>
        <v/>
      </c>
    </row>
    <row r="405" spans="1:13" x14ac:dyDescent="0.25">
      <c r="A405" s="3" t="str">
        <f>IF(B405&lt;&gt;"",395,"")</f>
        <v/>
      </c>
      <c r="B405" s="18" t="str">
        <f t="shared" si="75"/>
        <v/>
      </c>
      <c r="C405" s="18" t="str">
        <f t="shared" si="67"/>
        <v/>
      </c>
      <c r="D405" s="18" t="str">
        <f t="shared" si="68"/>
        <v/>
      </c>
      <c r="E405" s="18" t="str">
        <f t="shared" si="69"/>
        <v/>
      </c>
      <c r="F405" s="19" t="str">
        <f t="shared" si="70"/>
        <v/>
      </c>
      <c r="H405" s="3" t="str">
        <f t="shared" si="66"/>
        <v/>
      </c>
      <c r="I405" s="18" t="str">
        <f t="shared" si="76"/>
        <v/>
      </c>
      <c r="J405" s="18" t="str">
        <f t="shared" si="71"/>
        <v/>
      </c>
      <c r="K405" s="18" t="str">
        <f t="shared" si="72"/>
        <v/>
      </c>
      <c r="L405" s="18" t="str">
        <f t="shared" si="73"/>
        <v/>
      </c>
      <c r="M405" s="19" t="str">
        <f t="shared" si="74"/>
        <v/>
      </c>
    </row>
    <row r="406" spans="1:13" x14ac:dyDescent="0.25">
      <c r="A406" s="3" t="str">
        <f>IF(B406&lt;&gt;"",396,"")</f>
        <v/>
      </c>
      <c r="B406" s="18" t="str">
        <f t="shared" si="75"/>
        <v/>
      </c>
      <c r="C406" s="18" t="str">
        <f t="shared" si="67"/>
        <v/>
      </c>
      <c r="D406" s="18" t="str">
        <f t="shared" si="68"/>
        <v/>
      </c>
      <c r="E406" s="18" t="str">
        <f t="shared" si="69"/>
        <v/>
      </c>
      <c r="F406" s="19" t="str">
        <f t="shared" si="70"/>
        <v/>
      </c>
      <c r="H406" s="3" t="str">
        <f t="shared" si="66"/>
        <v/>
      </c>
      <c r="I406" s="18" t="str">
        <f t="shared" si="76"/>
        <v/>
      </c>
      <c r="J406" s="18" t="str">
        <f t="shared" si="71"/>
        <v/>
      </c>
      <c r="K406" s="18" t="str">
        <f t="shared" si="72"/>
        <v/>
      </c>
      <c r="L406" s="18" t="str">
        <f t="shared" si="73"/>
        <v/>
      </c>
      <c r="M406" s="19" t="str">
        <f t="shared" si="74"/>
        <v/>
      </c>
    </row>
    <row r="407" spans="1:13" x14ac:dyDescent="0.25">
      <c r="A407" s="3" t="str">
        <f>IF(B407&lt;&gt;"",397,"")</f>
        <v/>
      </c>
      <c r="B407" s="18" t="str">
        <f t="shared" si="75"/>
        <v/>
      </c>
      <c r="C407" s="18" t="str">
        <f t="shared" si="67"/>
        <v/>
      </c>
      <c r="D407" s="18" t="str">
        <f t="shared" si="68"/>
        <v/>
      </c>
      <c r="E407" s="18" t="str">
        <f t="shared" si="69"/>
        <v/>
      </c>
      <c r="F407" s="19" t="str">
        <f t="shared" si="70"/>
        <v/>
      </c>
      <c r="H407" s="3" t="str">
        <f t="shared" si="66"/>
        <v/>
      </c>
      <c r="I407" s="18" t="str">
        <f t="shared" si="76"/>
        <v/>
      </c>
      <c r="J407" s="18" t="str">
        <f t="shared" si="71"/>
        <v/>
      </c>
      <c r="K407" s="18" t="str">
        <f t="shared" si="72"/>
        <v/>
      </c>
      <c r="L407" s="18" t="str">
        <f t="shared" si="73"/>
        <v/>
      </c>
      <c r="M407" s="19" t="str">
        <f t="shared" si="74"/>
        <v/>
      </c>
    </row>
    <row r="408" spans="1:13" x14ac:dyDescent="0.25">
      <c r="A408" s="3" t="str">
        <f>IF(B408&lt;&gt;"",398,"")</f>
        <v/>
      </c>
      <c r="B408" s="18" t="str">
        <f t="shared" si="75"/>
        <v/>
      </c>
      <c r="C408" s="18" t="str">
        <f t="shared" si="67"/>
        <v/>
      </c>
      <c r="D408" s="18" t="str">
        <f t="shared" si="68"/>
        <v/>
      </c>
      <c r="E408" s="18" t="str">
        <f t="shared" si="69"/>
        <v/>
      </c>
      <c r="F408" s="19" t="str">
        <f t="shared" si="70"/>
        <v/>
      </c>
      <c r="H408" s="3" t="str">
        <f t="shared" si="66"/>
        <v/>
      </c>
      <c r="I408" s="18" t="str">
        <f t="shared" si="76"/>
        <v/>
      </c>
      <c r="J408" s="18" t="str">
        <f t="shared" si="71"/>
        <v/>
      </c>
      <c r="K408" s="18" t="str">
        <f t="shared" si="72"/>
        <v/>
      </c>
      <c r="L408" s="18" t="str">
        <f t="shared" si="73"/>
        <v/>
      </c>
      <c r="M408" s="19" t="str">
        <f t="shared" si="74"/>
        <v/>
      </c>
    </row>
    <row r="409" spans="1:13" x14ac:dyDescent="0.25">
      <c r="A409" s="3" t="str">
        <f>IF(B409&lt;&gt;"",399,"")</f>
        <v/>
      </c>
      <c r="B409" s="18" t="str">
        <f t="shared" si="75"/>
        <v/>
      </c>
      <c r="C409" s="18" t="str">
        <f t="shared" si="67"/>
        <v/>
      </c>
      <c r="D409" s="18" t="str">
        <f t="shared" si="68"/>
        <v/>
      </c>
      <c r="E409" s="18" t="str">
        <f t="shared" si="69"/>
        <v/>
      </c>
      <c r="F409" s="19" t="str">
        <f t="shared" si="70"/>
        <v/>
      </c>
      <c r="H409" s="3" t="str">
        <f t="shared" si="66"/>
        <v/>
      </c>
      <c r="I409" s="18" t="str">
        <f t="shared" si="76"/>
        <v/>
      </c>
      <c r="J409" s="18" t="str">
        <f t="shared" si="71"/>
        <v/>
      </c>
      <c r="K409" s="18" t="str">
        <f t="shared" si="72"/>
        <v/>
      </c>
      <c r="L409" s="18" t="str">
        <f t="shared" si="73"/>
        <v/>
      </c>
      <c r="M409" s="19" t="str">
        <f t="shared" si="74"/>
        <v/>
      </c>
    </row>
    <row r="410" spans="1:13" x14ac:dyDescent="0.25">
      <c r="A410" s="3" t="str">
        <f>IF(B410&lt;&gt;"",400,"")</f>
        <v/>
      </c>
      <c r="B410" s="18" t="str">
        <f t="shared" si="75"/>
        <v/>
      </c>
      <c r="C410" s="18" t="str">
        <f t="shared" si="67"/>
        <v/>
      </c>
      <c r="D410" s="18" t="str">
        <f t="shared" si="68"/>
        <v/>
      </c>
      <c r="E410" s="18" t="str">
        <f t="shared" si="69"/>
        <v/>
      </c>
      <c r="F410" s="19" t="str">
        <f t="shared" si="70"/>
        <v/>
      </c>
      <c r="H410" s="3" t="str">
        <f t="shared" si="66"/>
        <v/>
      </c>
      <c r="I410" s="18" t="str">
        <f t="shared" si="76"/>
        <v/>
      </c>
      <c r="J410" s="18" t="str">
        <f t="shared" si="71"/>
        <v/>
      </c>
      <c r="K410" s="18" t="str">
        <f t="shared" si="72"/>
        <v/>
      </c>
      <c r="L410" s="18" t="str">
        <f t="shared" si="73"/>
        <v/>
      </c>
      <c r="M410" s="19" t="str">
        <f t="shared" si="74"/>
        <v/>
      </c>
    </row>
    <row r="411" spans="1:13" x14ac:dyDescent="0.25">
      <c r="A411" s="3" t="str">
        <f>IF(B411&lt;&gt;"",401,"")</f>
        <v/>
      </c>
      <c r="B411" s="18" t="str">
        <f t="shared" si="75"/>
        <v/>
      </c>
      <c r="C411" s="18" t="str">
        <f t="shared" si="67"/>
        <v/>
      </c>
      <c r="D411" s="18" t="str">
        <f t="shared" si="68"/>
        <v/>
      </c>
      <c r="E411" s="18" t="str">
        <f t="shared" si="69"/>
        <v/>
      </c>
      <c r="F411" s="19" t="str">
        <f t="shared" si="70"/>
        <v/>
      </c>
      <c r="H411" s="3" t="str">
        <f t="shared" si="66"/>
        <v/>
      </c>
      <c r="I411" s="18" t="str">
        <f t="shared" si="76"/>
        <v/>
      </c>
      <c r="J411" s="18" t="str">
        <f t="shared" si="71"/>
        <v/>
      </c>
      <c r="K411" s="18" t="str">
        <f t="shared" si="72"/>
        <v/>
      </c>
      <c r="L411" s="18" t="str">
        <f t="shared" si="73"/>
        <v/>
      </c>
      <c r="M411" s="19" t="str">
        <f t="shared" si="74"/>
        <v/>
      </c>
    </row>
    <row r="412" spans="1:13" x14ac:dyDescent="0.25">
      <c r="A412" s="3" t="str">
        <f>IF(B412&lt;&gt;"",402,"")</f>
        <v/>
      </c>
      <c r="B412" s="18" t="str">
        <f t="shared" si="75"/>
        <v/>
      </c>
      <c r="C412" s="18" t="str">
        <f t="shared" si="67"/>
        <v/>
      </c>
      <c r="D412" s="18" t="str">
        <f t="shared" si="68"/>
        <v/>
      </c>
      <c r="E412" s="18" t="str">
        <f t="shared" si="69"/>
        <v/>
      </c>
      <c r="F412" s="19" t="str">
        <f t="shared" si="70"/>
        <v/>
      </c>
      <c r="H412" s="3" t="str">
        <f t="shared" si="66"/>
        <v/>
      </c>
      <c r="I412" s="18" t="str">
        <f t="shared" si="76"/>
        <v/>
      </c>
      <c r="J412" s="18" t="str">
        <f t="shared" si="71"/>
        <v/>
      </c>
      <c r="K412" s="18" t="str">
        <f t="shared" si="72"/>
        <v/>
      </c>
      <c r="L412" s="18" t="str">
        <f t="shared" si="73"/>
        <v/>
      </c>
      <c r="M412" s="19" t="str">
        <f t="shared" si="74"/>
        <v/>
      </c>
    </row>
    <row r="413" spans="1:13" x14ac:dyDescent="0.25">
      <c r="A413" s="3" t="str">
        <f>IF(B413&lt;&gt;"",403,"")</f>
        <v/>
      </c>
      <c r="B413" s="18" t="str">
        <f t="shared" si="75"/>
        <v/>
      </c>
      <c r="C413" s="18" t="str">
        <f t="shared" si="67"/>
        <v/>
      </c>
      <c r="D413" s="18" t="str">
        <f t="shared" si="68"/>
        <v/>
      </c>
      <c r="E413" s="18" t="str">
        <f t="shared" si="69"/>
        <v/>
      </c>
      <c r="F413" s="19" t="str">
        <f t="shared" si="70"/>
        <v/>
      </c>
      <c r="H413" s="3" t="str">
        <f t="shared" si="66"/>
        <v/>
      </c>
      <c r="I413" s="18" t="str">
        <f t="shared" si="76"/>
        <v/>
      </c>
      <c r="J413" s="18" t="str">
        <f t="shared" si="71"/>
        <v/>
      </c>
      <c r="K413" s="18" t="str">
        <f t="shared" si="72"/>
        <v/>
      </c>
      <c r="L413" s="18" t="str">
        <f t="shared" si="73"/>
        <v/>
      </c>
      <c r="M413" s="19" t="str">
        <f t="shared" si="74"/>
        <v/>
      </c>
    </row>
    <row r="414" spans="1:13" x14ac:dyDescent="0.25">
      <c r="A414" s="3" t="str">
        <f>IF(B414&lt;&gt;"",404,"")</f>
        <v/>
      </c>
      <c r="B414" s="18" t="str">
        <f t="shared" si="75"/>
        <v/>
      </c>
      <c r="C414" s="18" t="str">
        <f t="shared" si="67"/>
        <v/>
      </c>
      <c r="D414" s="18" t="str">
        <f t="shared" si="68"/>
        <v/>
      </c>
      <c r="E414" s="18" t="str">
        <f t="shared" si="69"/>
        <v/>
      </c>
      <c r="F414" s="19" t="str">
        <f t="shared" si="70"/>
        <v/>
      </c>
      <c r="H414" s="3" t="str">
        <f t="shared" si="66"/>
        <v/>
      </c>
      <c r="I414" s="18" t="str">
        <f t="shared" si="76"/>
        <v/>
      </c>
      <c r="J414" s="18" t="str">
        <f t="shared" si="71"/>
        <v/>
      </c>
      <c r="K414" s="18" t="str">
        <f t="shared" si="72"/>
        <v/>
      </c>
      <c r="L414" s="18" t="str">
        <f t="shared" si="73"/>
        <v/>
      </c>
      <c r="M414" s="19" t="str">
        <f t="shared" si="74"/>
        <v/>
      </c>
    </row>
    <row r="415" spans="1:13" x14ac:dyDescent="0.25">
      <c r="A415" s="3" t="str">
        <f>IF(B415&lt;&gt;"",405,"")</f>
        <v/>
      </c>
      <c r="B415" s="18" t="str">
        <f t="shared" si="75"/>
        <v/>
      </c>
      <c r="C415" s="18" t="str">
        <f t="shared" si="67"/>
        <v/>
      </c>
      <c r="D415" s="18" t="str">
        <f t="shared" si="68"/>
        <v/>
      </c>
      <c r="E415" s="18" t="str">
        <f t="shared" si="69"/>
        <v/>
      </c>
      <c r="F415" s="19" t="str">
        <f t="shared" si="70"/>
        <v/>
      </c>
      <c r="H415" s="3" t="str">
        <f t="shared" si="66"/>
        <v/>
      </c>
      <c r="I415" s="18" t="str">
        <f t="shared" si="76"/>
        <v/>
      </c>
      <c r="J415" s="18" t="str">
        <f t="shared" si="71"/>
        <v/>
      </c>
      <c r="K415" s="18" t="str">
        <f t="shared" si="72"/>
        <v/>
      </c>
      <c r="L415" s="18" t="str">
        <f t="shared" si="73"/>
        <v/>
      </c>
      <c r="M415" s="19" t="str">
        <f t="shared" si="74"/>
        <v/>
      </c>
    </row>
    <row r="416" spans="1:13" x14ac:dyDescent="0.25">
      <c r="A416" s="3" t="str">
        <f>IF(B416&lt;&gt;"",406,"")</f>
        <v/>
      </c>
      <c r="B416" s="18" t="str">
        <f t="shared" si="75"/>
        <v/>
      </c>
      <c r="C416" s="18" t="str">
        <f t="shared" si="67"/>
        <v/>
      </c>
      <c r="D416" s="18" t="str">
        <f t="shared" si="68"/>
        <v/>
      </c>
      <c r="E416" s="18" t="str">
        <f t="shared" si="69"/>
        <v/>
      </c>
      <c r="F416" s="19" t="str">
        <f t="shared" si="70"/>
        <v/>
      </c>
      <c r="H416" s="3" t="str">
        <f t="shared" si="66"/>
        <v/>
      </c>
      <c r="I416" s="18" t="str">
        <f t="shared" si="76"/>
        <v/>
      </c>
      <c r="J416" s="18" t="str">
        <f t="shared" si="71"/>
        <v/>
      </c>
      <c r="K416" s="18" t="str">
        <f t="shared" si="72"/>
        <v/>
      </c>
      <c r="L416" s="18" t="str">
        <f t="shared" si="73"/>
        <v/>
      </c>
      <c r="M416" s="19" t="str">
        <f t="shared" si="74"/>
        <v/>
      </c>
    </row>
    <row r="417" spans="1:13" x14ac:dyDescent="0.25">
      <c r="A417" s="3" t="str">
        <f>IF(B417&lt;&gt;"",407,"")</f>
        <v/>
      </c>
      <c r="B417" s="18" t="str">
        <f t="shared" si="75"/>
        <v/>
      </c>
      <c r="C417" s="18" t="str">
        <f t="shared" si="67"/>
        <v/>
      </c>
      <c r="D417" s="18" t="str">
        <f t="shared" si="68"/>
        <v/>
      </c>
      <c r="E417" s="18" t="str">
        <f t="shared" si="69"/>
        <v/>
      </c>
      <c r="F417" s="19" t="str">
        <f t="shared" si="70"/>
        <v/>
      </c>
      <c r="H417" s="3" t="str">
        <f t="shared" si="66"/>
        <v/>
      </c>
      <c r="I417" s="18" t="str">
        <f t="shared" si="76"/>
        <v/>
      </c>
      <c r="J417" s="18" t="str">
        <f t="shared" si="71"/>
        <v/>
      </c>
      <c r="K417" s="18" t="str">
        <f t="shared" si="72"/>
        <v/>
      </c>
      <c r="L417" s="18" t="str">
        <f t="shared" si="73"/>
        <v/>
      </c>
      <c r="M417" s="19" t="str">
        <f t="shared" si="74"/>
        <v/>
      </c>
    </row>
    <row r="418" spans="1:13" x14ac:dyDescent="0.25">
      <c r="A418" s="3" t="str">
        <f>IF(B418&lt;&gt;"",408,"")</f>
        <v/>
      </c>
      <c r="B418" s="18" t="str">
        <f t="shared" si="75"/>
        <v/>
      </c>
      <c r="C418" s="18" t="str">
        <f t="shared" si="67"/>
        <v/>
      </c>
      <c r="D418" s="18" t="str">
        <f t="shared" si="68"/>
        <v/>
      </c>
      <c r="E418" s="18" t="str">
        <f t="shared" si="69"/>
        <v/>
      </c>
      <c r="F418" s="19" t="str">
        <f t="shared" si="70"/>
        <v/>
      </c>
      <c r="H418" s="3" t="str">
        <f t="shared" si="66"/>
        <v/>
      </c>
      <c r="I418" s="18" t="str">
        <f t="shared" si="76"/>
        <v/>
      </c>
      <c r="J418" s="18" t="str">
        <f t="shared" si="71"/>
        <v/>
      </c>
      <c r="K418" s="18" t="str">
        <f t="shared" si="72"/>
        <v/>
      </c>
      <c r="L418" s="18" t="str">
        <f t="shared" si="73"/>
        <v/>
      </c>
      <c r="M418" s="19" t="str">
        <f t="shared" si="74"/>
        <v/>
      </c>
    </row>
    <row r="419" spans="1:13" x14ac:dyDescent="0.25">
      <c r="A419" s="3" t="str">
        <f>IF(B419&lt;&gt;"",409,"")</f>
        <v/>
      </c>
      <c r="B419" s="18" t="str">
        <f t="shared" si="75"/>
        <v/>
      </c>
      <c r="C419" s="18" t="str">
        <f t="shared" si="67"/>
        <v/>
      </c>
      <c r="D419" s="18" t="str">
        <f t="shared" si="68"/>
        <v/>
      </c>
      <c r="E419" s="18" t="str">
        <f t="shared" si="69"/>
        <v/>
      </c>
      <c r="F419" s="19" t="str">
        <f t="shared" si="70"/>
        <v/>
      </c>
      <c r="H419" s="3" t="str">
        <f t="shared" si="66"/>
        <v/>
      </c>
      <c r="I419" s="18" t="str">
        <f t="shared" si="76"/>
        <v/>
      </c>
      <c r="J419" s="18" t="str">
        <f t="shared" si="71"/>
        <v/>
      </c>
      <c r="K419" s="18" t="str">
        <f t="shared" si="72"/>
        <v/>
      </c>
      <c r="L419" s="18" t="str">
        <f t="shared" si="73"/>
        <v/>
      </c>
      <c r="M419" s="19" t="str">
        <f t="shared" si="74"/>
        <v/>
      </c>
    </row>
    <row r="420" spans="1:13" x14ac:dyDescent="0.25">
      <c r="A420" s="3" t="str">
        <f>IF(B420&lt;&gt;"",410,"")</f>
        <v/>
      </c>
      <c r="B420" s="18" t="str">
        <f t="shared" si="75"/>
        <v/>
      </c>
      <c r="C420" s="18" t="str">
        <f t="shared" si="67"/>
        <v/>
      </c>
      <c r="D420" s="18" t="str">
        <f t="shared" si="68"/>
        <v/>
      </c>
      <c r="E420" s="18" t="str">
        <f t="shared" si="69"/>
        <v/>
      </c>
      <c r="F420" s="19" t="str">
        <f t="shared" si="70"/>
        <v/>
      </c>
      <c r="H420" s="3" t="str">
        <f t="shared" si="66"/>
        <v/>
      </c>
      <c r="I420" s="18" t="str">
        <f t="shared" si="76"/>
        <v/>
      </c>
      <c r="J420" s="18" t="str">
        <f t="shared" si="71"/>
        <v/>
      </c>
      <c r="K420" s="18" t="str">
        <f t="shared" si="72"/>
        <v/>
      </c>
      <c r="L420" s="18" t="str">
        <f t="shared" si="73"/>
        <v/>
      </c>
      <c r="M420" s="19" t="str">
        <f t="shared" si="74"/>
        <v/>
      </c>
    </row>
    <row r="421" spans="1:13" x14ac:dyDescent="0.25">
      <c r="A421" s="3" t="str">
        <f>IF(B421&lt;&gt;"",411,"")</f>
        <v/>
      </c>
      <c r="B421" s="18" t="str">
        <f t="shared" si="75"/>
        <v/>
      </c>
      <c r="C421" s="18" t="str">
        <f t="shared" si="67"/>
        <v/>
      </c>
      <c r="D421" s="18" t="str">
        <f t="shared" si="68"/>
        <v/>
      </c>
      <c r="E421" s="18" t="str">
        <f t="shared" si="69"/>
        <v/>
      </c>
      <c r="F421" s="19" t="str">
        <f t="shared" si="70"/>
        <v/>
      </c>
      <c r="H421" s="3" t="str">
        <f t="shared" si="66"/>
        <v/>
      </c>
      <c r="I421" s="18" t="str">
        <f t="shared" si="76"/>
        <v/>
      </c>
      <c r="J421" s="18" t="str">
        <f t="shared" si="71"/>
        <v/>
      </c>
      <c r="K421" s="18" t="str">
        <f t="shared" si="72"/>
        <v/>
      </c>
      <c r="L421" s="18" t="str">
        <f t="shared" si="73"/>
        <v/>
      </c>
      <c r="M421" s="19" t="str">
        <f t="shared" si="74"/>
        <v/>
      </c>
    </row>
    <row r="422" spans="1:13" x14ac:dyDescent="0.25">
      <c r="A422" s="3" t="str">
        <f>IF(B422&lt;&gt;"",412,"")</f>
        <v/>
      </c>
      <c r="B422" s="18" t="str">
        <f t="shared" si="75"/>
        <v/>
      </c>
      <c r="C422" s="18" t="str">
        <f t="shared" si="67"/>
        <v/>
      </c>
      <c r="D422" s="18" t="str">
        <f t="shared" si="68"/>
        <v/>
      </c>
      <c r="E422" s="18" t="str">
        <f t="shared" si="69"/>
        <v/>
      </c>
      <c r="F422" s="19" t="str">
        <f t="shared" si="70"/>
        <v/>
      </c>
      <c r="H422" s="3" t="str">
        <f t="shared" si="66"/>
        <v/>
      </c>
      <c r="I422" s="18" t="str">
        <f t="shared" si="76"/>
        <v/>
      </c>
      <c r="J422" s="18" t="str">
        <f t="shared" si="71"/>
        <v/>
      </c>
      <c r="K422" s="18" t="str">
        <f t="shared" si="72"/>
        <v/>
      </c>
      <c r="L422" s="18" t="str">
        <f t="shared" si="73"/>
        <v/>
      </c>
      <c r="M422" s="19" t="str">
        <f t="shared" si="74"/>
        <v/>
      </c>
    </row>
    <row r="423" spans="1:13" x14ac:dyDescent="0.25">
      <c r="A423" s="3" t="str">
        <f>IF(B423&lt;&gt;"",413,"")</f>
        <v/>
      </c>
      <c r="B423" s="18" t="str">
        <f t="shared" si="75"/>
        <v/>
      </c>
      <c r="C423" s="18" t="str">
        <f t="shared" si="67"/>
        <v/>
      </c>
      <c r="D423" s="18" t="str">
        <f t="shared" si="68"/>
        <v/>
      </c>
      <c r="E423" s="18" t="str">
        <f t="shared" si="69"/>
        <v/>
      </c>
      <c r="F423" s="19" t="str">
        <f t="shared" si="70"/>
        <v/>
      </c>
      <c r="H423" s="3" t="str">
        <f t="shared" si="66"/>
        <v/>
      </c>
      <c r="I423" s="18" t="str">
        <f t="shared" si="76"/>
        <v/>
      </c>
      <c r="J423" s="18" t="str">
        <f t="shared" si="71"/>
        <v/>
      </c>
      <c r="K423" s="18" t="str">
        <f t="shared" si="72"/>
        <v/>
      </c>
      <c r="L423" s="18" t="str">
        <f t="shared" si="73"/>
        <v/>
      </c>
      <c r="M423" s="19" t="str">
        <f t="shared" si="74"/>
        <v/>
      </c>
    </row>
    <row r="424" spans="1:13" x14ac:dyDescent="0.25">
      <c r="A424" s="3" t="str">
        <f>IF(B424&lt;&gt;"",414,"")</f>
        <v/>
      </c>
      <c r="B424" s="18" t="str">
        <f t="shared" si="75"/>
        <v/>
      </c>
      <c r="C424" s="18" t="str">
        <f t="shared" si="67"/>
        <v/>
      </c>
      <c r="D424" s="18" t="str">
        <f t="shared" si="68"/>
        <v/>
      </c>
      <c r="E424" s="18" t="str">
        <f t="shared" si="69"/>
        <v/>
      </c>
      <c r="F424" s="19" t="str">
        <f t="shared" si="70"/>
        <v/>
      </c>
      <c r="H424" s="3" t="str">
        <f t="shared" si="66"/>
        <v/>
      </c>
      <c r="I424" s="18" t="str">
        <f t="shared" si="76"/>
        <v/>
      </c>
      <c r="J424" s="18" t="str">
        <f t="shared" si="71"/>
        <v/>
      </c>
      <c r="K424" s="18" t="str">
        <f t="shared" si="72"/>
        <v/>
      </c>
      <c r="L424" s="18" t="str">
        <f t="shared" si="73"/>
        <v/>
      </c>
      <c r="M424" s="19" t="str">
        <f t="shared" si="74"/>
        <v/>
      </c>
    </row>
    <row r="425" spans="1:13" x14ac:dyDescent="0.25">
      <c r="A425" s="3" t="str">
        <f>IF(B425&lt;&gt;"",415,"")</f>
        <v/>
      </c>
      <c r="B425" s="18" t="str">
        <f t="shared" si="75"/>
        <v/>
      </c>
      <c r="C425" s="18" t="str">
        <f t="shared" si="67"/>
        <v/>
      </c>
      <c r="D425" s="18" t="str">
        <f t="shared" si="68"/>
        <v/>
      </c>
      <c r="E425" s="18" t="str">
        <f t="shared" si="69"/>
        <v/>
      </c>
      <c r="F425" s="19" t="str">
        <f t="shared" si="70"/>
        <v/>
      </c>
      <c r="H425" s="3" t="str">
        <f t="shared" si="66"/>
        <v/>
      </c>
      <c r="I425" s="18" t="str">
        <f t="shared" si="76"/>
        <v/>
      </c>
      <c r="J425" s="18" t="str">
        <f t="shared" si="71"/>
        <v/>
      </c>
      <c r="K425" s="18" t="str">
        <f t="shared" si="72"/>
        <v/>
      </c>
      <c r="L425" s="18" t="str">
        <f t="shared" si="73"/>
        <v/>
      </c>
      <c r="M425" s="19" t="str">
        <f t="shared" si="74"/>
        <v/>
      </c>
    </row>
    <row r="426" spans="1:13" x14ac:dyDescent="0.25">
      <c r="A426" s="3" t="str">
        <f>IF(B426&lt;&gt;"",416,"")</f>
        <v/>
      </c>
      <c r="B426" s="18" t="str">
        <f t="shared" si="75"/>
        <v/>
      </c>
      <c r="C426" s="18" t="str">
        <f t="shared" si="67"/>
        <v/>
      </c>
      <c r="D426" s="18" t="str">
        <f t="shared" si="68"/>
        <v/>
      </c>
      <c r="E426" s="18" t="str">
        <f t="shared" si="69"/>
        <v/>
      </c>
      <c r="F426" s="19" t="str">
        <f t="shared" si="70"/>
        <v/>
      </c>
      <c r="H426" s="3" t="str">
        <f t="shared" si="66"/>
        <v/>
      </c>
      <c r="I426" s="18" t="str">
        <f t="shared" si="76"/>
        <v/>
      </c>
      <c r="J426" s="18" t="str">
        <f t="shared" si="71"/>
        <v/>
      </c>
      <c r="K426" s="18" t="str">
        <f t="shared" si="72"/>
        <v/>
      </c>
      <c r="L426" s="18" t="str">
        <f t="shared" si="73"/>
        <v/>
      </c>
      <c r="M426" s="19" t="str">
        <f t="shared" si="74"/>
        <v/>
      </c>
    </row>
    <row r="427" spans="1:13" x14ac:dyDescent="0.25">
      <c r="A427" s="3" t="str">
        <f>IF(B427&lt;&gt;"",417,"")</f>
        <v/>
      </c>
      <c r="B427" s="18" t="str">
        <f t="shared" si="75"/>
        <v/>
      </c>
      <c r="C427" s="18" t="str">
        <f t="shared" si="67"/>
        <v/>
      </c>
      <c r="D427" s="18" t="str">
        <f t="shared" si="68"/>
        <v/>
      </c>
      <c r="E427" s="18" t="str">
        <f t="shared" si="69"/>
        <v/>
      </c>
      <c r="F427" s="19" t="str">
        <f t="shared" si="70"/>
        <v/>
      </c>
      <c r="H427" s="3" t="str">
        <f t="shared" si="66"/>
        <v/>
      </c>
      <c r="I427" s="18" t="str">
        <f t="shared" si="76"/>
        <v/>
      </c>
      <c r="J427" s="18" t="str">
        <f t="shared" si="71"/>
        <v/>
      </c>
      <c r="K427" s="18" t="str">
        <f t="shared" si="72"/>
        <v/>
      </c>
      <c r="L427" s="18" t="str">
        <f t="shared" si="73"/>
        <v/>
      </c>
      <c r="M427" s="19" t="str">
        <f t="shared" si="74"/>
        <v/>
      </c>
    </row>
    <row r="428" spans="1:13" x14ac:dyDescent="0.25">
      <c r="A428" s="3" t="str">
        <f>IF(B428&lt;&gt;"",418,"")</f>
        <v/>
      </c>
      <c r="B428" s="18" t="str">
        <f t="shared" si="75"/>
        <v/>
      </c>
      <c r="C428" s="18" t="str">
        <f t="shared" si="67"/>
        <v/>
      </c>
      <c r="D428" s="18" t="str">
        <f t="shared" si="68"/>
        <v/>
      </c>
      <c r="E428" s="18" t="str">
        <f t="shared" si="69"/>
        <v/>
      </c>
      <c r="F428" s="19" t="str">
        <f t="shared" si="70"/>
        <v/>
      </c>
      <c r="H428" s="3" t="str">
        <f t="shared" si="66"/>
        <v/>
      </c>
      <c r="I428" s="18" t="str">
        <f t="shared" si="76"/>
        <v/>
      </c>
      <c r="J428" s="18" t="str">
        <f t="shared" si="71"/>
        <v/>
      </c>
      <c r="K428" s="18" t="str">
        <f t="shared" si="72"/>
        <v/>
      </c>
      <c r="L428" s="18" t="str">
        <f t="shared" si="73"/>
        <v/>
      </c>
      <c r="M428" s="19" t="str">
        <f t="shared" si="74"/>
        <v/>
      </c>
    </row>
    <row r="429" spans="1:13" x14ac:dyDescent="0.25">
      <c r="A429" s="3" t="str">
        <f>IF(B429&lt;&gt;"",419,"")</f>
        <v/>
      </c>
      <c r="B429" s="18" t="str">
        <f t="shared" si="75"/>
        <v/>
      </c>
      <c r="C429" s="18" t="str">
        <f t="shared" si="67"/>
        <v/>
      </c>
      <c r="D429" s="18" t="str">
        <f t="shared" si="68"/>
        <v/>
      </c>
      <c r="E429" s="18" t="str">
        <f t="shared" si="69"/>
        <v/>
      </c>
      <c r="F429" s="19" t="str">
        <f t="shared" si="70"/>
        <v/>
      </c>
      <c r="H429" s="3" t="str">
        <f t="shared" si="66"/>
        <v/>
      </c>
      <c r="I429" s="18" t="str">
        <f t="shared" si="76"/>
        <v/>
      </c>
      <c r="J429" s="18" t="str">
        <f t="shared" si="71"/>
        <v/>
      </c>
      <c r="K429" s="18" t="str">
        <f t="shared" si="72"/>
        <v/>
      </c>
      <c r="L429" s="18" t="str">
        <f t="shared" si="73"/>
        <v/>
      </c>
      <c r="M429" s="19" t="str">
        <f t="shared" si="74"/>
        <v/>
      </c>
    </row>
    <row r="430" spans="1:13" x14ac:dyDescent="0.25">
      <c r="A430" s="3" t="str">
        <f>IF(B430&lt;&gt;"",420,"")</f>
        <v/>
      </c>
      <c r="B430" s="18" t="str">
        <f t="shared" si="75"/>
        <v/>
      </c>
      <c r="C430" s="18" t="str">
        <f t="shared" si="67"/>
        <v/>
      </c>
      <c r="D430" s="18" t="str">
        <f t="shared" si="68"/>
        <v/>
      </c>
      <c r="E430" s="18" t="str">
        <f t="shared" si="69"/>
        <v/>
      </c>
      <c r="F430" s="19" t="str">
        <f t="shared" si="70"/>
        <v/>
      </c>
      <c r="H430" s="3" t="str">
        <f t="shared" si="66"/>
        <v/>
      </c>
      <c r="I430" s="18" t="str">
        <f t="shared" si="76"/>
        <v/>
      </c>
      <c r="J430" s="18" t="str">
        <f t="shared" si="71"/>
        <v/>
      </c>
      <c r="K430" s="18" t="str">
        <f t="shared" si="72"/>
        <v/>
      </c>
      <c r="L430" s="18" t="str">
        <f t="shared" si="73"/>
        <v/>
      </c>
      <c r="M430" s="19" t="str">
        <f t="shared" si="74"/>
        <v/>
      </c>
    </row>
    <row r="431" spans="1:13" x14ac:dyDescent="0.25">
      <c r="A431" s="3" t="str">
        <f>IF(B431&lt;&gt;"",421,"")</f>
        <v/>
      </c>
      <c r="B431" s="18" t="str">
        <f t="shared" si="75"/>
        <v/>
      </c>
      <c r="C431" s="18" t="str">
        <f t="shared" si="67"/>
        <v/>
      </c>
      <c r="D431" s="18" t="str">
        <f t="shared" si="68"/>
        <v/>
      </c>
      <c r="E431" s="18" t="str">
        <f t="shared" si="69"/>
        <v/>
      </c>
      <c r="F431" s="19" t="str">
        <f t="shared" si="70"/>
        <v/>
      </c>
      <c r="H431" s="3" t="str">
        <f t="shared" si="66"/>
        <v/>
      </c>
      <c r="I431" s="18" t="str">
        <f t="shared" si="76"/>
        <v/>
      </c>
      <c r="J431" s="18" t="str">
        <f t="shared" si="71"/>
        <v/>
      </c>
      <c r="K431" s="18" t="str">
        <f t="shared" si="72"/>
        <v/>
      </c>
      <c r="L431" s="18" t="str">
        <f t="shared" si="73"/>
        <v/>
      </c>
      <c r="M431" s="19" t="str">
        <f t="shared" si="74"/>
        <v/>
      </c>
    </row>
    <row r="432" spans="1:13" x14ac:dyDescent="0.25">
      <c r="A432" s="3" t="str">
        <f>IF(B432&lt;&gt;"",422,"")</f>
        <v/>
      </c>
      <c r="B432" s="18" t="str">
        <f t="shared" si="75"/>
        <v/>
      </c>
      <c r="C432" s="18" t="str">
        <f t="shared" si="67"/>
        <v/>
      </c>
      <c r="D432" s="18" t="str">
        <f t="shared" si="68"/>
        <v/>
      </c>
      <c r="E432" s="18" t="str">
        <f t="shared" si="69"/>
        <v/>
      </c>
      <c r="F432" s="19" t="str">
        <f t="shared" si="70"/>
        <v/>
      </c>
      <c r="H432" s="3" t="str">
        <f t="shared" si="66"/>
        <v/>
      </c>
      <c r="I432" s="18" t="str">
        <f t="shared" si="76"/>
        <v/>
      </c>
      <c r="J432" s="18" t="str">
        <f t="shared" si="71"/>
        <v/>
      </c>
      <c r="K432" s="18" t="str">
        <f t="shared" si="72"/>
        <v/>
      </c>
      <c r="L432" s="18" t="str">
        <f t="shared" si="73"/>
        <v/>
      </c>
      <c r="M432" s="19" t="str">
        <f t="shared" si="74"/>
        <v/>
      </c>
    </row>
    <row r="433" spans="1:13" x14ac:dyDescent="0.25">
      <c r="A433" s="3" t="str">
        <f>IF(B433&lt;&gt;"",423,"")</f>
        <v/>
      </c>
      <c r="B433" s="18" t="str">
        <f t="shared" si="75"/>
        <v/>
      </c>
      <c r="C433" s="18" t="str">
        <f t="shared" si="67"/>
        <v/>
      </c>
      <c r="D433" s="18" t="str">
        <f t="shared" si="68"/>
        <v/>
      </c>
      <c r="E433" s="18" t="str">
        <f t="shared" si="69"/>
        <v/>
      </c>
      <c r="F433" s="19" t="str">
        <f t="shared" si="70"/>
        <v/>
      </c>
      <c r="H433" s="3" t="str">
        <f t="shared" si="66"/>
        <v/>
      </c>
      <c r="I433" s="18" t="str">
        <f t="shared" si="76"/>
        <v/>
      </c>
      <c r="J433" s="18" t="str">
        <f t="shared" si="71"/>
        <v/>
      </c>
      <c r="K433" s="18" t="str">
        <f t="shared" si="72"/>
        <v/>
      </c>
      <c r="L433" s="18" t="str">
        <f t="shared" si="73"/>
        <v/>
      </c>
      <c r="M433" s="19" t="str">
        <f t="shared" si="74"/>
        <v/>
      </c>
    </row>
    <row r="434" spans="1:13" x14ac:dyDescent="0.25">
      <c r="A434" s="3" t="str">
        <f>IF(B434&lt;&gt;"",424,"")</f>
        <v/>
      </c>
      <c r="B434" s="18" t="str">
        <f t="shared" si="75"/>
        <v/>
      </c>
      <c r="C434" s="18" t="str">
        <f t="shared" si="67"/>
        <v/>
      </c>
      <c r="D434" s="18" t="str">
        <f t="shared" si="68"/>
        <v/>
      </c>
      <c r="E434" s="18" t="str">
        <f t="shared" si="69"/>
        <v/>
      </c>
      <c r="F434" s="19" t="str">
        <f t="shared" si="70"/>
        <v/>
      </c>
      <c r="H434" s="3" t="str">
        <f t="shared" si="66"/>
        <v/>
      </c>
      <c r="I434" s="18" t="str">
        <f t="shared" si="76"/>
        <v/>
      </c>
      <c r="J434" s="18" t="str">
        <f t="shared" si="71"/>
        <v/>
      </c>
      <c r="K434" s="18" t="str">
        <f t="shared" si="72"/>
        <v/>
      </c>
      <c r="L434" s="18" t="str">
        <f t="shared" si="73"/>
        <v/>
      </c>
      <c r="M434" s="19" t="str">
        <f t="shared" si="74"/>
        <v/>
      </c>
    </row>
    <row r="435" spans="1:13" x14ac:dyDescent="0.25">
      <c r="A435" s="3" t="str">
        <f>IF(B435&lt;&gt;"",425,"")</f>
        <v/>
      </c>
      <c r="B435" s="18" t="str">
        <f t="shared" si="75"/>
        <v/>
      </c>
      <c r="C435" s="18" t="str">
        <f t="shared" si="67"/>
        <v/>
      </c>
      <c r="D435" s="18" t="str">
        <f t="shared" si="68"/>
        <v/>
      </c>
      <c r="E435" s="18" t="str">
        <f t="shared" si="69"/>
        <v/>
      </c>
      <c r="F435" s="19" t="str">
        <f t="shared" si="70"/>
        <v/>
      </c>
      <c r="H435" s="3" t="str">
        <f t="shared" si="66"/>
        <v/>
      </c>
      <c r="I435" s="18" t="str">
        <f t="shared" si="76"/>
        <v/>
      </c>
      <c r="J435" s="18" t="str">
        <f t="shared" si="71"/>
        <v/>
      </c>
      <c r="K435" s="18" t="str">
        <f t="shared" si="72"/>
        <v/>
      </c>
      <c r="L435" s="18" t="str">
        <f t="shared" si="73"/>
        <v/>
      </c>
      <c r="M435" s="19" t="str">
        <f t="shared" si="74"/>
        <v/>
      </c>
    </row>
    <row r="436" spans="1:13" x14ac:dyDescent="0.25">
      <c r="A436" s="3" t="str">
        <f>IF(B436&lt;&gt;"",426,"")</f>
        <v/>
      </c>
      <c r="B436" s="18" t="str">
        <f t="shared" si="75"/>
        <v/>
      </c>
      <c r="C436" s="18" t="str">
        <f t="shared" si="67"/>
        <v/>
      </c>
      <c r="D436" s="18" t="str">
        <f t="shared" si="68"/>
        <v/>
      </c>
      <c r="E436" s="18" t="str">
        <f t="shared" si="69"/>
        <v/>
      </c>
      <c r="F436" s="19" t="str">
        <f t="shared" si="70"/>
        <v/>
      </c>
      <c r="H436" s="3" t="str">
        <f t="shared" ref="H436:H499" si="77">A436</f>
        <v/>
      </c>
      <c r="I436" s="18" t="str">
        <f t="shared" si="76"/>
        <v/>
      </c>
      <c r="J436" s="18" t="str">
        <f t="shared" si="71"/>
        <v/>
      </c>
      <c r="K436" s="18" t="str">
        <f t="shared" si="72"/>
        <v/>
      </c>
      <c r="L436" s="18" t="str">
        <f t="shared" si="73"/>
        <v/>
      </c>
      <c r="M436" s="19" t="str">
        <f t="shared" si="74"/>
        <v/>
      </c>
    </row>
    <row r="437" spans="1:13" x14ac:dyDescent="0.25">
      <c r="A437" s="3" t="str">
        <f>IF(B437&lt;&gt;"",427,"")</f>
        <v/>
      </c>
      <c r="B437" s="18" t="str">
        <f t="shared" si="75"/>
        <v/>
      </c>
      <c r="C437" s="18" t="str">
        <f t="shared" si="67"/>
        <v/>
      </c>
      <c r="D437" s="18" t="str">
        <f t="shared" si="68"/>
        <v/>
      </c>
      <c r="E437" s="18" t="str">
        <f t="shared" si="69"/>
        <v/>
      </c>
      <c r="F437" s="19" t="str">
        <f t="shared" si="70"/>
        <v/>
      </c>
      <c r="H437" s="3" t="str">
        <f t="shared" si="77"/>
        <v/>
      </c>
      <c r="I437" s="18" t="str">
        <f t="shared" si="76"/>
        <v/>
      </c>
      <c r="J437" s="18" t="str">
        <f t="shared" si="71"/>
        <v/>
      </c>
      <c r="K437" s="18" t="str">
        <f t="shared" si="72"/>
        <v/>
      </c>
      <c r="L437" s="18" t="str">
        <f t="shared" si="73"/>
        <v/>
      </c>
      <c r="M437" s="19" t="str">
        <f t="shared" si="74"/>
        <v/>
      </c>
    </row>
    <row r="438" spans="1:13" x14ac:dyDescent="0.25">
      <c r="A438" s="3" t="str">
        <f>IF(B438&lt;&gt;"",428,"")</f>
        <v/>
      </c>
      <c r="B438" s="18" t="str">
        <f t="shared" si="75"/>
        <v/>
      </c>
      <c r="C438" s="18" t="str">
        <f t="shared" si="67"/>
        <v/>
      </c>
      <c r="D438" s="18" t="str">
        <f t="shared" si="68"/>
        <v/>
      </c>
      <c r="E438" s="18" t="str">
        <f t="shared" si="69"/>
        <v/>
      </c>
      <c r="F438" s="19" t="str">
        <f t="shared" si="70"/>
        <v/>
      </c>
      <c r="H438" s="3" t="str">
        <f t="shared" si="77"/>
        <v/>
      </c>
      <c r="I438" s="18" t="str">
        <f t="shared" si="76"/>
        <v/>
      </c>
      <c r="J438" s="18" t="str">
        <f t="shared" si="71"/>
        <v/>
      </c>
      <c r="K438" s="18" t="str">
        <f t="shared" si="72"/>
        <v/>
      </c>
      <c r="L438" s="18" t="str">
        <f t="shared" si="73"/>
        <v/>
      </c>
      <c r="M438" s="19" t="str">
        <f t="shared" si="74"/>
        <v/>
      </c>
    </row>
    <row r="439" spans="1:13" x14ac:dyDescent="0.25">
      <c r="A439" s="3" t="str">
        <f>IF(B439&lt;&gt;"",429,"")</f>
        <v/>
      </c>
      <c r="B439" s="18" t="str">
        <f t="shared" si="75"/>
        <v/>
      </c>
      <c r="C439" s="18" t="str">
        <f t="shared" si="67"/>
        <v/>
      </c>
      <c r="D439" s="18" t="str">
        <f t="shared" si="68"/>
        <v/>
      </c>
      <c r="E439" s="18" t="str">
        <f t="shared" si="69"/>
        <v/>
      </c>
      <c r="F439" s="19" t="str">
        <f t="shared" si="70"/>
        <v/>
      </c>
      <c r="H439" s="3" t="str">
        <f t="shared" si="77"/>
        <v/>
      </c>
      <c r="I439" s="18" t="str">
        <f t="shared" si="76"/>
        <v/>
      </c>
      <c r="J439" s="18" t="str">
        <f t="shared" si="71"/>
        <v/>
      </c>
      <c r="K439" s="18" t="str">
        <f t="shared" si="72"/>
        <v/>
      </c>
      <c r="L439" s="18" t="str">
        <f t="shared" si="73"/>
        <v/>
      </c>
      <c r="M439" s="19" t="str">
        <f t="shared" si="74"/>
        <v/>
      </c>
    </row>
    <row r="440" spans="1:13" x14ac:dyDescent="0.25">
      <c r="A440" s="3" t="str">
        <f>IF(B440&lt;&gt;"",430,"")</f>
        <v/>
      </c>
      <c r="B440" s="18" t="str">
        <f t="shared" si="75"/>
        <v/>
      </c>
      <c r="C440" s="18" t="str">
        <f t="shared" si="67"/>
        <v/>
      </c>
      <c r="D440" s="18" t="str">
        <f t="shared" si="68"/>
        <v/>
      </c>
      <c r="E440" s="18" t="str">
        <f t="shared" si="69"/>
        <v/>
      </c>
      <c r="F440" s="19" t="str">
        <f t="shared" si="70"/>
        <v/>
      </c>
      <c r="H440" s="3" t="str">
        <f t="shared" si="77"/>
        <v/>
      </c>
      <c r="I440" s="18" t="str">
        <f t="shared" si="76"/>
        <v/>
      </c>
      <c r="J440" s="18" t="str">
        <f t="shared" si="71"/>
        <v/>
      </c>
      <c r="K440" s="18" t="str">
        <f t="shared" si="72"/>
        <v/>
      </c>
      <c r="L440" s="18" t="str">
        <f t="shared" si="73"/>
        <v/>
      </c>
      <c r="M440" s="19" t="str">
        <f t="shared" si="74"/>
        <v/>
      </c>
    </row>
    <row r="441" spans="1:13" x14ac:dyDescent="0.25">
      <c r="A441" s="3" t="str">
        <f>IF(B441&lt;&gt;"",431,"")</f>
        <v/>
      </c>
      <c r="B441" s="18" t="str">
        <f t="shared" si="75"/>
        <v/>
      </c>
      <c r="C441" s="18" t="str">
        <f t="shared" si="67"/>
        <v/>
      </c>
      <c r="D441" s="18" t="str">
        <f t="shared" si="68"/>
        <v/>
      </c>
      <c r="E441" s="18" t="str">
        <f t="shared" si="69"/>
        <v/>
      </c>
      <c r="F441" s="19" t="str">
        <f t="shared" si="70"/>
        <v/>
      </c>
      <c r="H441" s="3" t="str">
        <f t="shared" si="77"/>
        <v/>
      </c>
      <c r="I441" s="18" t="str">
        <f t="shared" si="76"/>
        <v/>
      </c>
      <c r="J441" s="18" t="str">
        <f t="shared" si="71"/>
        <v/>
      </c>
      <c r="K441" s="18" t="str">
        <f t="shared" si="72"/>
        <v/>
      </c>
      <c r="L441" s="18" t="str">
        <f t="shared" si="73"/>
        <v/>
      </c>
      <c r="M441" s="19" t="str">
        <f t="shared" si="74"/>
        <v/>
      </c>
    </row>
    <row r="442" spans="1:13" x14ac:dyDescent="0.25">
      <c r="A442" s="3" t="str">
        <f>IF(B442&lt;&gt;"",432,"")</f>
        <v/>
      </c>
      <c r="B442" s="18" t="str">
        <f t="shared" si="75"/>
        <v/>
      </c>
      <c r="C442" s="18" t="str">
        <f t="shared" si="67"/>
        <v/>
      </c>
      <c r="D442" s="18" t="str">
        <f t="shared" si="68"/>
        <v/>
      </c>
      <c r="E442" s="18" t="str">
        <f t="shared" si="69"/>
        <v/>
      </c>
      <c r="F442" s="19" t="str">
        <f t="shared" si="70"/>
        <v/>
      </c>
      <c r="H442" s="3" t="str">
        <f t="shared" si="77"/>
        <v/>
      </c>
      <c r="I442" s="18" t="str">
        <f t="shared" si="76"/>
        <v/>
      </c>
      <c r="J442" s="18" t="str">
        <f t="shared" si="71"/>
        <v/>
      </c>
      <c r="K442" s="18" t="str">
        <f t="shared" si="72"/>
        <v/>
      </c>
      <c r="L442" s="18" t="str">
        <f t="shared" si="73"/>
        <v/>
      </c>
      <c r="M442" s="19" t="str">
        <f t="shared" si="74"/>
        <v/>
      </c>
    </row>
    <row r="443" spans="1:13" x14ac:dyDescent="0.25">
      <c r="A443" s="3" t="str">
        <f>IF(B443&lt;&gt;"",433,"")</f>
        <v/>
      </c>
      <c r="B443" s="18" t="str">
        <f t="shared" si="75"/>
        <v/>
      </c>
      <c r="C443" s="18" t="str">
        <f t="shared" si="67"/>
        <v/>
      </c>
      <c r="D443" s="18" t="str">
        <f t="shared" si="68"/>
        <v/>
      </c>
      <c r="E443" s="18" t="str">
        <f t="shared" si="69"/>
        <v/>
      </c>
      <c r="F443" s="19" t="str">
        <f t="shared" si="70"/>
        <v/>
      </c>
      <c r="H443" s="3" t="str">
        <f t="shared" si="77"/>
        <v/>
      </c>
      <c r="I443" s="18" t="str">
        <f t="shared" si="76"/>
        <v/>
      </c>
      <c r="J443" s="18" t="str">
        <f t="shared" si="71"/>
        <v/>
      </c>
      <c r="K443" s="18" t="str">
        <f t="shared" si="72"/>
        <v/>
      </c>
      <c r="L443" s="18" t="str">
        <f t="shared" si="73"/>
        <v/>
      </c>
      <c r="M443" s="19" t="str">
        <f t="shared" si="74"/>
        <v/>
      </c>
    </row>
    <row r="444" spans="1:13" x14ac:dyDescent="0.25">
      <c r="A444" s="3" t="str">
        <f>IF(B444&lt;&gt;"",434,"")</f>
        <v/>
      </c>
      <c r="B444" s="18" t="str">
        <f t="shared" si="75"/>
        <v/>
      </c>
      <c r="C444" s="18" t="str">
        <f t="shared" si="67"/>
        <v/>
      </c>
      <c r="D444" s="18" t="str">
        <f t="shared" si="68"/>
        <v/>
      </c>
      <c r="E444" s="18" t="str">
        <f t="shared" si="69"/>
        <v/>
      </c>
      <c r="F444" s="19" t="str">
        <f t="shared" si="70"/>
        <v/>
      </c>
      <c r="H444" s="3" t="str">
        <f t="shared" si="77"/>
        <v/>
      </c>
      <c r="I444" s="18" t="str">
        <f t="shared" si="76"/>
        <v/>
      </c>
      <c r="J444" s="18" t="str">
        <f t="shared" si="71"/>
        <v/>
      </c>
      <c r="K444" s="18" t="str">
        <f t="shared" si="72"/>
        <v/>
      </c>
      <c r="L444" s="18" t="str">
        <f t="shared" si="73"/>
        <v/>
      </c>
      <c r="M444" s="19" t="str">
        <f t="shared" si="74"/>
        <v/>
      </c>
    </row>
    <row r="445" spans="1:13" x14ac:dyDescent="0.25">
      <c r="A445" s="3" t="str">
        <f>IF(B445&lt;&gt;"",435,"")</f>
        <v/>
      </c>
      <c r="B445" s="18" t="str">
        <f t="shared" si="75"/>
        <v/>
      </c>
      <c r="C445" s="18" t="str">
        <f t="shared" si="67"/>
        <v/>
      </c>
      <c r="D445" s="18" t="str">
        <f t="shared" si="68"/>
        <v/>
      </c>
      <c r="E445" s="18" t="str">
        <f t="shared" si="69"/>
        <v/>
      </c>
      <c r="F445" s="19" t="str">
        <f t="shared" si="70"/>
        <v/>
      </c>
      <c r="H445" s="3" t="str">
        <f t="shared" si="77"/>
        <v/>
      </c>
      <c r="I445" s="18" t="str">
        <f t="shared" si="76"/>
        <v/>
      </c>
      <c r="J445" s="18" t="str">
        <f t="shared" si="71"/>
        <v/>
      </c>
      <c r="K445" s="18" t="str">
        <f t="shared" si="72"/>
        <v/>
      </c>
      <c r="L445" s="18" t="str">
        <f t="shared" si="73"/>
        <v/>
      </c>
      <c r="M445" s="19" t="str">
        <f t="shared" si="74"/>
        <v/>
      </c>
    </row>
    <row r="446" spans="1:13" x14ac:dyDescent="0.25">
      <c r="A446" s="3" t="str">
        <f>IF(B446&lt;&gt;"",436,"")</f>
        <v/>
      </c>
      <c r="B446" s="18" t="str">
        <f t="shared" si="75"/>
        <v/>
      </c>
      <c r="C446" s="18" t="str">
        <f t="shared" si="67"/>
        <v/>
      </c>
      <c r="D446" s="18" t="str">
        <f t="shared" si="68"/>
        <v/>
      </c>
      <c r="E446" s="18" t="str">
        <f t="shared" si="69"/>
        <v/>
      </c>
      <c r="F446" s="19" t="str">
        <f t="shared" si="70"/>
        <v/>
      </c>
      <c r="H446" s="3" t="str">
        <f t="shared" si="77"/>
        <v/>
      </c>
      <c r="I446" s="18" t="str">
        <f t="shared" si="76"/>
        <v/>
      </c>
      <c r="J446" s="18" t="str">
        <f t="shared" si="71"/>
        <v/>
      </c>
      <c r="K446" s="18" t="str">
        <f t="shared" si="72"/>
        <v/>
      </c>
      <c r="L446" s="18" t="str">
        <f t="shared" si="73"/>
        <v/>
      </c>
      <c r="M446" s="19" t="str">
        <f t="shared" si="74"/>
        <v/>
      </c>
    </row>
    <row r="447" spans="1:13" x14ac:dyDescent="0.25">
      <c r="A447" s="3" t="str">
        <f>IF(B447&lt;&gt;"",437,"")</f>
        <v/>
      </c>
      <c r="B447" s="18" t="str">
        <f t="shared" si="75"/>
        <v/>
      </c>
      <c r="C447" s="18" t="str">
        <f t="shared" si="67"/>
        <v/>
      </c>
      <c r="D447" s="18" t="str">
        <f t="shared" si="68"/>
        <v/>
      </c>
      <c r="E447" s="18" t="str">
        <f t="shared" si="69"/>
        <v/>
      </c>
      <c r="F447" s="19" t="str">
        <f t="shared" si="70"/>
        <v/>
      </c>
      <c r="H447" s="3" t="str">
        <f t="shared" si="77"/>
        <v/>
      </c>
      <c r="I447" s="18" t="str">
        <f t="shared" si="76"/>
        <v/>
      </c>
      <c r="J447" s="18" t="str">
        <f t="shared" si="71"/>
        <v/>
      </c>
      <c r="K447" s="18" t="str">
        <f t="shared" si="72"/>
        <v/>
      </c>
      <c r="L447" s="18" t="str">
        <f t="shared" si="73"/>
        <v/>
      </c>
      <c r="M447" s="19" t="str">
        <f t="shared" si="74"/>
        <v/>
      </c>
    </row>
    <row r="448" spans="1:13" x14ac:dyDescent="0.25">
      <c r="A448" s="3" t="str">
        <f>IF(B448&lt;&gt;"",438,"")</f>
        <v/>
      </c>
      <c r="B448" s="18" t="str">
        <f t="shared" si="75"/>
        <v/>
      </c>
      <c r="C448" s="18" t="str">
        <f t="shared" si="67"/>
        <v/>
      </c>
      <c r="D448" s="18" t="str">
        <f t="shared" si="68"/>
        <v/>
      </c>
      <c r="E448" s="18" t="str">
        <f t="shared" si="69"/>
        <v/>
      </c>
      <c r="F448" s="19" t="str">
        <f t="shared" si="70"/>
        <v/>
      </c>
      <c r="H448" s="3" t="str">
        <f t="shared" si="77"/>
        <v/>
      </c>
      <c r="I448" s="18" t="str">
        <f t="shared" si="76"/>
        <v/>
      </c>
      <c r="J448" s="18" t="str">
        <f t="shared" si="71"/>
        <v/>
      </c>
      <c r="K448" s="18" t="str">
        <f t="shared" si="72"/>
        <v/>
      </c>
      <c r="L448" s="18" t="str">
        <f t="shared" si="73"/>
        <v/>
      </c>
      <c r="M448" s="19" t="str">
        <f t="shared" si="74"/>
        <v/>
      </c>
    </row>
    <row r="449" spans="1:13" x14ac:dyDescent="0.25">
      <c r="A449" s="3" t="str">
        <f>IF(B449&lt;&gt;"",439,"")</f>
        <v/>
      </c>
      <c r="B449" s="18" t="str">
        <f t="shared" si="75"/>
        <v/>
      </c>
      <c r="C449" s="18" t="str">
        <f t="shared" si="67"/>
        <v/>
      </c>
      <c r="D449" s="18" t="str">
        <f t="shared" si="68"/>
        <v/>
      </c>
      <c r="E449" s="18" t="str">
        <f t="shared" si="69"/>
        <v/>
      </c>
      <c r="F449" s="19" t="str">
        <f t="shared" si="70"/>
        <v/>
      </c>
      <c r="H449" s="3" t="str">
        <f t="shared" si="77"/>
        <v/>
      </c>
      <c r="I449" s="18" t="str">
        <f t="shared" si="76"/>
        <v/>
      </c>
      <c r="J449" s="18" t="str">
        <f t="shared" si="71"/>
        <v/>
      </c>
      <c r="K449" s="18" t="str">
        <f t="shared" si="72"/>
        <v/>
      </c>
      <c r="L449" s="18" t="str">
        <f t="shared" si="73"/>
        <v/>
      </c>
      <c r="M449" s="19" t="str">
        <f t="shared" si="74"/>
        <v/>
      </c>
    </row>
    <row r="450" spans="1:13" x14ac:dyDescent="0.25">
      <c r="A450" s="3" t="str">
        <f>IF(B450&lt;&gt;"",440,"")</f>
        <v/>
      </c>
      <c r="B450" s="18" t="str">
        <f t="shared" si="75"/>
        <v/>
      </c>
      <c r="C450" s="18" t="str">
        <f t="shared" si="67"/>
        <v/>
      </c>
      <c r="D450" s="18" t="str">
        <f t="shared" si="68"/>
        <v/>
      </c>
      <c r="E450" s="18" t="str">
        <f t="shared" si="69"/>
        <v/>
      </c>
      <c r="F450" s="19" t="str">
        <f t="shared" si="70"/>
        <v/>
      </c>
      <c r="H450" s="3" t="str">
        <f t="shared" si="77"/>
        <v/>
      </c>
      <c r="I450" s="18" t="str">
        <f t="shared" si="76"/>
        <v/>
      </c>
      <c r="J450" s="18" t="str">
        <f t="shared" si="71"/>
        <v/>
      </c>
      <c r="K450" s="18" t="str">
        <f t="shared" si="72"/>
        <v/>
      </c>
      <c r="L450" s="18" t="str">
        <f t="shared" si="73"/>
        <v/>
      </c>
      <c r="M450" s="19" t="str">
        <f t="shared" si="74"/>
        <v/>
      </c>
    </row>
    <row r="451" spans="1:13" x14ac:dyDescent="0.25">
      <c r="A451" s="3" t="str">
        <f>IF(B451&lt;&gt;"",441,"")</f>
        <v/>
      </c>
      <c r="B451" s="18" t="str">
        <f t="shared" si="75"/>
        <v/>
      </c>
      <c r="C451" s="18" t="str">
        <f t="shared" si="67"/>
        <v/>
      </c>
      <c r="D451" s="18" t="str">
        <f t="shared" si="68"/>
        <v/>
      </c>
      <c r="E451" s="18" t="str">
        <f t="shared" si="69"/>
        <v/>
      </c>
      <c r="F451" s="19" t="str">
        <f t="shared" si="70"/>
        <v/>
      </c>
      <c r="H451" s="3" t="str">
        <f t="shared" si="77"/>
        <v/>
      </c>
      <c r="I451" s="18" t="str">
        <f t="shared" si="76"/>
        <v/>
      </c>
      <c r="J451" s="18" t="str">
        <f t="shared" si="71"/>
        <v/>
      </c>
      <c r="K451" s="18" t="str">
        <f t="shared" si="72"/>
        <v/>
      </c>
      <c r="L451" s="18" t="str">
        <f t="shared" si="73"/>
        <v/>
      </c>
      <c r="M451" s="19" t="str">
        <f t="shared" si="74"/>
        <v/>
      </c>
    </row>
    <row r="452" spans="1:13" x14ac:dyDescent="0.25">
      <c r="A452" s="3" t="str">
        <f>IF(B452&lt;&gt;"",442,"")</f>
        <v/>
      </c>
      <c r="B452" s="18" t="str">
        <f t="shared" si="75"/>
        <v/>
      </c>
      <c r="C452" s="18" t="str">
        <f t="shared" si="67"/>
        <v/>
      </c>
      <c r="D452" s="18" t="str">
        <f t="shared" si="68"/>
        <v/>
      </c>
      <c r="E452" s="18" t="str">
        <f t="shared" si="69"/>
        <v/>
      </c>
      <c r="F452" s="19" t="str">
        <f t="shared" si="70"/>
        <v/>
      </c>
      <c r="H452" s="3" t="str">
        <f t="shared" si="77"/>
        <v/>
      </c>
      <c r="I452" s="18" t="str">
        <f t="shared" si="76"/>
        <v/>
      </c>
      <c r="J452" s="18" t="str">
        <f t="shared" si="71"/>
        <v/>
      </c>
      <c r="K452" s="18" t="str">
        <f t="shared" si="72"/>
        <v/>
      </c>
      <c r="L452" s="18" t="str">
        <f t="shared" si="73"/>
        <v/>
      </c>
      <c r="M452" s="19" t="str">
        <f t="shared" si="74"/>
        <v/>
      </c>
    </row>
    <row r="453" spans="1:13" x14ac:dyDescent="0.25">
      <c r="A453" s="3" t="str">
        <f>IF(B453&lt;&gt;"",443,"")</f>
        <v/>
      </c>
      <c r="B453" s="18" t="str">
        <f t="shared" si="75"/>
        <v/>
      </c>
      <c r="C453" s="18" t="str">
        <f t="shared" si="67"/>
        <v/>
      </c>
      <c r="D453" s="18" t="str">
        <f t="shared" si="68"/>
        <v/>
      </c>
      <c r="E453" s="18" t="str">
        <f t="shared" si="69"/>
        <v/>
      </c>
      <c r="F453" s="19" t="str">
        <f t="shared" si="70"/>
        <v/>
      </c>
      <c r="H453" s="3" t="str">
        <f t="shared" si="77"/>
        <v/>
      </c>
      <c r="I453" s="18" t="str">
        <f t="shared" si="76"/>
        <v/>
      </c>
      <c r="J453" s="18" t="str">
        <f t="shared" si="71"/>
        <v/>
      </c>
      <c r="K453" s="18" t="str">
        <f t="shared" si="72"/>
        <v/>
      </c>
      <c r="L453" s="18" t="str">
        <f t="shared" si="73"/>
        <v/>
      </c>
      <c r="M453" s="19" t="str">
        <f t="shared" si="74"/>
        <v/>
      </c>
    </row>
    <row r="454" spans="1:13" x14ac:dyDescent="0.25">
      <c r="A454" s="3" t="str">
        <f>IF(B454&lt;&gt;"",444,"")</f>
        <v/>
      </c>
      <c r="B454" s="18" t="str">
        <f t="shared" si="75"/>
        <v/>
      </c>
      <c r="C454" s="18" t="str">
        <f t="shared" si="67"/>
        <v/>
      </c>
      <c r="D454" s="18" t="str">
        <f t="shared" si="68"/>
        <v/>
      </c>
      <c r="E454" s="18" t="str">
        <f t="shared" si="69"/>
        <v/>
      </c>
      <c r="F454" s="19" t="str">
        <f t="shared" si="70"/>
        <v/>
      </c>
      <c r="H454" s="3" t="str">
        <f t="shared" si="77"/>
        <v/>
      </c>
      <c r="I454" s="18" t="str">
        <f t="shared" si="76"/>
        <v/>
      </c>
      <c r="J454" s="18" t="str">
        <f t="shared" si="71"/>
        <v/>
      </c>
      <c r="K454" s="18" t="str">
        <f t="shared" si="72"/>
        <v/>
      </c>
      <c r="L454" s="18" t="str">
        <f t="shared" si="73"/>
        <v/>
      </c>
      <c r="M454" s="19" t="str">
        <f t="shared" si="74"/>
        <v/>
      </c>
    </row>
    <row r="455" spans="1:13" x14ac:dyDescent="0.25">
      <c r="A455" s="3" t="str">
        <f>IF(B455&lt;&gt;"",445,"")</f>
        <v/>
      </c>
      <c r="B455" s="18" t="str">
        <f t="shared" si="75"/>
        <v/>
      </c>
      <c r="C455" s="18" t="str">
        <f t="shared" si="67"/>
        <v/>
      </c>
      <c r="D455" s="18" t="str">
        <f t="shared" si="68"/>
        <v/>
      </c>
      <c r="E455" s="18" t="str">
        <f t="shared" si="69"/>
        <v/>
      </c>
      <c r="F455" s="19" t="str">
        <f t="shared" si="70"/>
        <v/>
      </c>
      <c r="H455" s="3" t="str">
        <f t="shared" si="77"/>
        <v/>
      </c>
      <c r="I455" s="18" t="str">
        <f t="shared" si="76"/>
        <v/>
      </c>
      <c r="J455" s="18" t="str">
        <f t="shared" si="71"/>
        <v/>
      </c>
      <c r="K455" s="18" t="str">
        <f t="shared" si="72"/>
        <v/>
      </c>
      <c r="L455" s="18" t="str">
        <f t="shared" si="73"/>
        <v/>
      </c>
      <c r="M455" s="19" t="str">
        <f t="shared" si="74"/>
        <v/>
      </c>
    </row>
    <row r="456" spans="1:13" x14ac:dyDescent="0.25">
      <c r="A456" s="3" t="str">
        <f>IF(B456&lt;&gt;"",446,"")</f>
        <v/>
      </c>
      <c r="B456" s="18" t="str">
        <f t="shared" si="75"/>
        <v/>
      </c>
      <c r="C456" s="18" t="str">
        <f t="shared" si="67"/>
        <v/>
      </c>
      <c r="D456" s="18" t="str">
        <f t="shared" si="68"/>
        <v/>
      </c>
      <c r="E456" s="18" t="str">
        <f t="shared" si="69"/>
        <v/>
      </c>
      <c r="F456" s="19" t="str">
        <f t="shared" si="70"/>
        <v/>
      </c>
      <c r="H456" s="3" t="str">
        <f t="shared" si="77"/>
        <v/>
      </c>
      <c r="I456" s="18" t="str">
        <f t="shared" si="76"/>
        <v/>
      </c>
      <c r="J456" s="18" t="str">
        <f t="shared" si="71"/>
        <v/>
      </c>
      <c r="K456" s="18" t="str">
        <f t="shared" si="72"/>
        <v/>
      </c>
      <c r="L456" s="18" t="str">
        <f t="shared" si="73"/>
        <v/>
      </c>
      <c r="M456" s="19" t="str">
        <f t="shared" si="74"/>
        <v/>
      </c>
    </row>
    <row r="457" spans="1:13" x14ac:dyDescent="0.25">
      <c r="A457" s="3" t="str">
        <f>IF(B457&lt;&gt;"",447,"")</f>
        <v/>
      </c>
      <c r="B457" s="18" t="str">
        <f t="shared" si="75"/>
        <v/>
      </c>
      <c r="C457" s="18" t="str">
        <f t="shared" si="67"/>
        <v/>
      </c>
      <c r="D457" s="18" t="str">
        <f t="shared" si="68"/>
        <v/>
      </c>
      <c r="E457" s="18" t="str">
        <f t="shared" si="69"/>
        <v/>
      </c>
      <c r="F457" s="19" t="str">
        <f t="shared" si="70"/>
        <v/>
      </c>
      <c r="H457" s="3" t="str">
        <f t="shared" si="77"/>
        <v/>
      </c>
      <c r="I457" s="18" t="str">
        <f t="shared" si="76"/>
        <v/>
      </c>
      <c r="J457" s="18" t="str">
        <f t="shared" si="71"/>
        <v/>
      </c>
      <c r="K457" s="18" t="str">
        <f t="shared" si="72"/>
        <v/>
      </c>
      <c r="L457" s="18" t="str">
        <f t="shared" si="73"/>
        <v/>
      </c>
      <c r="M457" s="19" t="str">
        <f t="shared" si="74"/>
        <v/>
      </c>
    </row>
    <row r="458" spans="1:13" x14ac:dyDescent="0.25">
      <c r="A458" s="3" t="str">
        <f>IF(B458&lt;&gt;"",448,"")</f>
        <v/>
      </c>
      <c r="B458" s="18" t="str">
        <f t="shared" si="75"/>
        <v/>
      </c>
      <c r="C458" s="18" t="str">
        <f t="shared" si="67"/>
        <v/>
      </c>
      <c r="D458" s="18" t="str">
        <f t="shared" si="68"/>
        <v/>
      </c>
      <c r="E458" s="18" t="str">
        <f t="shared" si="69"/>
        <v/>
      </c>
      <c r="F458" s="19" t="str">
        <f t="shared" si="70"/>
        <v/>
      </c>
      <c r="H458" s="3" t="str">
        <f t="shared" si="77"/>
        <v/>
      </c>
      <c r="I458" s="18" t="str">
        <f t="shared" si="76"/>
        <v/>
      </c>
      <c r="J458" s="18" t="str">
        <f t="shared" si="71"/>
        <v/>
      </c>
      <c r="K458" s="18" t="str">
        <f t="shared" si="72"/>
        <v/>
      </c>
      <c r="L458" s="18" t="str">
        <f t="shared" si="73"/>
        <v/>
      </c>
      <c r="M458" s="19" t="str">
        <f t="shared" si="74"/>
        <v/>
      </c>
    </row>
    <row r="459" spans="1:13" x14ac:dyDescent="0.25">
      <c r="A459" s="3" t="str">
        <f>IF(B459&lt;&gt;"",449,"")</f>
        <v/>
      </c>
      <c r="B459" s="18" t="str">
        <f t="shared" si="75"/>
        <v/>
      </c>
      <c r="C459" s="18" t="str">
        <f t="shared" si="67"/>
        <v/>
      </c>
      <c r="D459" s="18" t="str">
        <f t="shared" si="68"/>
        <v/>
      </c>
      <c r="E459" s="18" t="str">
        <f t="shared" si="69"/>
        <v/>
      </c>
      <c r="F459" s="19" t="str">
        <f t="shared" si="70"/>
        <v/>
      </c>
      <c r="H459" s="3" t="str">
        <f t="shared" si="77"/>
        <v/>
      </c>
      <c r="I459" s="18" t="str">
        <f t="shared" si="76"/>
        <v/>
      </c>
      <c r="J459" s="18" t="str">
        <f t="shared" si="71"/>
        <v/>
      </c>
      <c r="K459" s="18" t="str">
        <f t="shared" si="72"/>
        <v/>
      </c>
      <c r="L459" s="18" t="str">
        <f t="shared" si="73"/>
        <v/>
      </c>
      <c r="M459" s="19" t="str">
        <f t="shared" si="74"/>
        <v/>
      </c>
    </row>
    <row r="460" spans="1:13" x14ac:dyDescent="0.25">
      <c r="A460" s="3" t="str">
        <f>IF(B460&lt;&gt;"",450,"")</f>
        <v/>
      </c>
      <c r="B460" s="18" t="str">
        <f t="shared" si="75"/>
        <v/>
      </c>
      <c r="C460" s="18" t="str">
        <f t="shared" ref="C460:C523" si="78">IFERROR(B460*$G$4/12,"")</f>
        <v/>
      </c>
      <c r="D460" s="18" t="str">
        <f t="shared" ref="D460:D523" si="79">IF(A460&lt;&gt;"",$G$3/$G$5,"")</f>
        <v/>
      </c>
      <c r="E460" s="18" t="str">
        <f t="shared" ref="E460:E523" si="80">IF(A460&lt;&gt;"",B460-D460,"")</f>
        <v/>
      </c>
      <c r="F460" s="19" t="str">
        <f t="shared" ref="F460:F523" si="81">IF(A460&lt;&gt;"",C460+D460,"")</f>
        <v/>
      </c>
      <c r="H460" s="3" t="str">
        <f t="shared" si="77"/>
        <v/>
      </c>
      <c r="I460" s="18" t="str">
        <f t="shared" si="76"/>
        <v/>
      </c>
      <c r="J460" s="18" t="str">
        <f t="shared" ref="J460:J523" si="82">IFERROR(I460*$G$4/12,"")</f>
        <v/>
      </c>
      <c r="K460" s="18" t="str">
        <f t="shared" ref="K460:K523" si="83">IFERROR(M460-J460,"")</f>
        <v/>
      </c>
      <c r="L460" s="18" t="str">
        <f t="shared" ref="L460:L523" si="84">IFERROR(I460-K460,"")</f>
        <v/>
      </c>
      <c r="M460" s="19" t="str">
        <f t="shared" ref="M460:M523" si="85">IF(H460&lt;&gt;"",-PMT($G$4/12,$G$5,$G$3),"")</f>
        <v/>
      </c>
    </row>
    <row r="461" spans="1:13" x14ac:dyDescent="0.25">
      <c r="A461" s="3" t="str">
        <f>IF(B461&lt;&gt;"",451,"")</f>
        <v/>
      </c>
      <c r="B461" s="18" t="str">
        <f t="shared" ref="B461:B524" si="86">IFERROR(IF(B460-D460&gt;=0.01,B460-D460,""),"")</f>
        <v/>
      </c>
      <c r="C461" s="18" t="str">
        <f t="shared" si="78"/>
        <v/>
      </c>
      <c r="D461" s="18" t="str">
        <f t="shared" si="79"/>
        <v/>
      </c>
      <c r="E461" s="18" t="str">
        <f t="shared" si="80"/>
        <v/>
      </c>
      <c r="F461" s="19" t="str">
        <f t="shared" si="81"/>
        <v/>
      </c>
      <c r="H461" s="3" t="str">
        <f t="shared" si="77"/>
        <v/>
      </c>
      <c r="I461" s="18" t="str">
        <f t="shared" ref="I461:I524" si="87">IFERROR(IF(I460-K460&gt;=0.01,I460-K460,""),"")</f>
        <v/>
      </c>
      <c r="J461" s="18" t="str">
        <f t="shared" si="82"/>
        <v/>
      </c>
      <c r="K461" s="18" t="str">
        <f t="shared" si="83"/>
        <v/>
      </c>
      <c r="L461" s="18" t="str">
        <f t="shared" si="84"/>
        <v/>
      </c>
      <c r="M461" s="19" t="str">
        <f t="shared" si="85"/>
        <v/>
      </c>
    </row>
    <row r="462" spans="1:13" x14ac:dyDescent="0.25">
      <c r="A462" s="3" t="str">
        <f>IF(B462&lt;&gt;"",452,"")</f>
        <v/>
      </c>
      <c r="B462" s="18" t="str">
        <f t="shared" si="86"/>
        <v/>
      </c>
      <c r="C462" s="18" t="str">
        <f t="shared" si="78"/>
        <v/>
      </c>
      <c r="D462" s="18" t="str">
        <f t="shared" si="79"/>
        <v/>
      </c>
      <c r="E462" s="18" t="str">
        <f t="shared" si="80"/>
        <v/>
      </c>
      <c r="F462" s="19" t="str">
        <f t="shared" si="81"/>
        <v/>
      </c>
      <c r="H462" s="3" t="str">
        <f t="shared" si="77"/>
        <v/>
      </c>
      <c r="I462" s="18" t="str">
        <f t="shared" si="87"/>
        <v/>
      </c>
      <c r="J462" s="18" t="str">
        <f t="shared" si="82"/>
        <v/>
      </c>
      <c r="K462" s="18" t="str">
        <f t="shared" si="83"/>
        <v/>
      </c>
      <c r="L462" s="18" t="str">
        <f t="shared" si="84"/>
        <v/>
      </c>
      <c r="M462" s="19" t="str">
        <f t="shared" si="85"/>
        <v/>
      </c>
    </row>
    <row r="463" spans="1:13" x14ac:dyDescent="0.25">
      <c r="A463" s="3" t="str">
        <f>IF(B463&lt;&gt;"",453,"")</f>
        <v/>
      </c>
      <c r="B463" s="18" t="str">
        <f t="shared" si="86"/>
        <v/>
      </c>
      <c r="C463" s="18" t="str">
        <f t="shared" si="78"/>
        <v/>
      </c>
      <c r="D463" s="18" t="str">
        <f t="shared" si="79"/>
        <v/>
      </c>
      <c r="E463" s="18" t="str">
        <f t="shared" si="80"/>
        <v/>
      </c>
      <c r="F463" s="19" t="str">
        <f t="shared" si="81"/>
        <v/>
      </c>
      <c r="H463" s="3" t="str">
        <f t="shared" si="77"/>
        <v/>
      </c>
      <c r="I463" s="18" t="str">
        <f t="shared" si="87"/>
        <v/>
      </c>
      <c r="J463" s="18" t="str">
        <f t="shared" si="82"/>
        <v/>
      </c>
      <c r="K463" s="18" t="str">
        <f t="shared" si="83"/>
        <v/>
      </c>
      <c r="L463" s="18" t="str">
        <f t="shared" si="84"/>
        <v/>
      </c>
      <c r="M463" s="19" t="str">
        <f t="shared" si="85"/>
        <v/>
      </c>
    </row>
    <row r="464" spans="1:13" x14ac:dyDescent="0.25">
      <c r="A464" s="3" t="str">
        <f>IF(B464&lt;&gt;"",454,"")</f>
        <v/>
      </c>
      <c r="B464" s="18" t="str">
        <f t="shared" si="86"/>
        <v/>
      </c>
      <c r="C464" s="18" t="str">
        <f t="shared" si="78"/>
        <v/>
      </c>
      <c r="D464" s="18" t="str">
        <f t="shared" si="79"/>
        <v/>
      </c>
      <c r="E464" s="18" t="str">
        <f t="shared" si="80"/>
        <v/>
      </c>
      <c r="F464" s="19" t="str">
        <f t="shared" si="81"/>
        <v/>
      </c>
      <c r="H464" s="3" t="str">
        <f t="shared" si="77"/>
        <v/>
      </c>
      <c r="I464" s="18" t="str">
        <f t="shared" si="87"/>
        <v/>
      </c>
      <c r="J464" s="18" t="str">
        <f t="shared" si="82"/>
        <v/>
      </c>
      <c r="K464" s="18" t="str">
        <f t="shared" si="83"/>
        <v/>
      </c>
      <c r="L464" s="18" t="str">
        <f t="shared" si="84"/>
        <v/>
      </c>
      <c r="M464" s="19" t="str">
        <f t="shared" si="85"/>
        <v/>
      </c>
    </row>
    <row r="465" spans="1:13" x14ac:dyDescent="0.25">
      <c r="A465" s="3" t="str">
        <f>IF(B465&lt;&gt;"",455,"")</f>
        <v/>
      </c>
      <c r="B465" s="18" t="str">
        <f t="shared" si="86"/>
        <v/>
      </c>
      <c r="C465" s="18" t="str">
        <f t="shared" si="78"/>
        <v/>
      </c>
      <c r="D465" s="18" t="str">
        <f t="shared" si="79"/>
        <v/>
      </c>
      <c r="E465" s="18" t="str">
        <f t="shared" si="80"/>
        <v/>
      </c>
      <c r="F465" s="19" t="str">
        <f t="shared" si="81"/>
        <v/>
      </c>
      <c r="H465" s="3" t="str">
        <f t="shared" si="77"/>
        <v/>
      </c>
      <c r="I465" s="18" t="str">
        <f t="shared" si="87"/>
        <v/>
      </c>
      <c r="J465" s="18" t="str">
        <f t="shared" si="82"/>
        <v/>
      </c>
      <c r="K465" s="18" t="str">
        <f t="shared" si="83"/>
        <v/>
      </c>
      <c r="L465" s="18" t="str">
        <f t="shared" si="84"/>
        <v/>
      </c>
      <c r="M465" s="19" t="str">
        <f t="shared" si="85"/>
        <v/>
      </c>
    </row>
    <row r="466" spans="1:13" x14ac:dyDescent="0.25">
      <c r="A466" s="3" t="str">
        <f>IF(B466&lt;&gt;"",456,"")</f>
        <v/>
      </c>
      <c r="B466" s="18" t="str">
        <f t="shared" si="86"/>
        <v/>
      </c>
      <c r="C466" s="18" t="str">
        <f t="shared" si="78"/>
        <v/>
      </c>
      <c r="D466" s="18" t="str">
        <f t="shared" si="79"/>
        <v/>
      </c>
      <c r="E466" s="18" t="str">
        <f t="shared" si="80"/>
        <v/>
      </c>
      <c r="F466" s="19" t="str">
        <f t="shared" si="81"/>
        <v/>
      </c>
      <c r="H466" s="3" t="str">
        <f t="shared" si="77"/>
        <v/>
      </c>
      <c r="I466" s="18" t="str">
        <f t="shared" si="87"/>
        <v/>
      </c>
      <c r="J466" s="18" t="str">
        <f t="shared" si="82"/>
        <v/>
      </c>
      <c r="K466" s="18" t="str">
        <f t="shared" si="83"/>
        <v/>
      </c>
      <c r="L466" s="18" t="str">
        <f t="shared" si="84"/>
        <v/>
      </c>
      <c r="M466" s="19" t="str">
        <f t="shared" si="85"/>
        <v/>
      </c>
    </row>
    <row r="467" spans="1:13" x14ac:dyDescent="0.25">
      <c r="A467" s="3" t="str">
        <f>IF(B467&lt;&gt;"",457,"")</f>
        <v/>
      </c>
      <c r="B467" s="18" t="str">
        <f t="shared" si="86"/>
        <v/>
      </c>
      <c r="C467" s="18" t="str">
        <f t="shared" si="78"/>
        <v/>
      </c>
      <c r="D467" s="18" t="str">
        <f t="shared" si="79"/>
        <v/>
      </c>
      <c r="E467" s="18" t="str">
        <f t="shared" si="80"/>
        <v/>
      </c>
      <c r="F467" s="19" t="str">
        <f t="shared" si="81"/>
        <v/>
      </c>
      <c r="H467" s="3" t="str">
        <f t="shared" si="77"/>
        <v/>
      </c>
      <c r="I467" s="18" t="str">
        <f t="shared" si="87"/>
        <v/>
      </c>
      <c r="J467" s="18" t="str">
        <f t="shared" si="82"/>
        <v/>
      </c>
      <c r="K467" s="18" t="str">
        <f t="shared" si="83"/>
        <v/>
      </c>
      <c r="L467" s="18" t="str">
        <f t="shared" si="84"/>
        <v/>
      </c>
      <c r="M467" s="19" t="str">
        <f t="shared" si="85"/>
        <v/>
      </c>
    </row>
    <row r="468" spans="1:13" x14ac:dyDescent="0.25">
      <c r="A468" s="3" t="str">
        <f>IF(B468&lt;&gt;"",458,"")</f>
        <v/>
      </c>
      <c r="B468" s="18" t="str">
        <f t="shared" si="86"/>
        <v/>
      </c>
      <c r="C468" s="18" t="str">
        <f t="shared" si="78"/>
        <v/>
      </c>
      <c r="D468" s="18" t="str">
        <f t="shared" si="79"/>
        <v/>
      </c>
      <c r="E468" s="18" t="str">
        <f t="shared" si="80"/>
        <v/>
      </c>
      <c r="F468" s="19" t="str">
        <f t="shared" si="81"/>
        <v/>
      </c>
      <c r="H468" s="3" t="str">
        <f t="shared" si="77"/>
        <v/>
      </c>
      <c r="I468" s="18" t="str">
        <f t="shared" si="87"/>
        <v/>
      </c>
      <c r="J468" s="18" t="str">
        <f t="shared" si="82"/>
        <v/>
      </c>
      <c r="K468" s="18" t="str">
        <f t="shared" si="83"/>
        <v/>
      </c>
      <c r="L468" s="18" t="str">
        <f t="shared" si="84"/>
        <v/>
      </c>
      <c r="M468" s="19" t="str">
        <f t="shared" si="85"/>
        <v/>
      </c>
    </row>
    <row r="469" spans="1:13" x14ac:dyDescent="0.25">
      <c r="A469" s="3" t="str">
        <f>IF(B469&lt;&gt;"",459,"")</f>
        <v/>
      </c>
      <c r="B469" s="18" t="str">
        <f t="shared" si="86"/>
        <v/>
      </c>
      <c r="C469" s="18" t="str">
        <f t="shared" si="78"/>
        <v/>
      </c>
      <c r="D469" s="18" t="str">
        <f t="shared" si="79"/>
        <v/>
      </c>
      <c r="E469" s="18" t="str">
        <f t="shared" si="80"/>
        <v/>
      </c>
      <c r="F469" s="19" t="str">
        <f t="shared" si="81"/>
        <v/>
      </c>
      <c r="H469" s="3" t="str">
        <f t="shared" si="77"/>
        <v/>
      </c>
      <c r="I469" s="18" t="str">
        <f t="shared" si="87"/>
        <v/>
      </c>
      <c r="J469" s="18" t="str">
        <f t="shared" si="82"/>
        <v/>
      </c>
      <c r="K469" s="18" t="str">
        <f t="shared" si="83"/>
        <v/>
      </c>
      <c r="L469" s="18" t="str">
        <f t="shared" si="84"/>
        <v/>
      </c>
      <c r="M469" s="19" t="str">
        <f t="shared" si="85"/>
        <v/>
      </c>
    </row>
    <row r="470" spans="1:13" x14ac:dyDescent="0.25">
      <c r="A470" s="3" t="str">
        <f>IF(B470&lt;&gt;"",460,"")</f>
        <v/>
      </c>
      <c r="B470" s="18" t="str">
        <f t="shared" si="86"/>
        <v/>
      </c>
      <c r="C470" s="18" t="str">
        <f t="shared" si="78"/>
        <v/>
      </c>
      <c r="D470" s="18" t="str">
        <f t="shared" si="79"/>
        <v/>
      </c>
      <c r="E470" s="18" t="str">
        <f t="shared" si="80"/>
        <v/>
      </c>
      <c r="F470" s="19" t="str">
        <f t="shared" si="81"/>
        <v/>
      </c>
      <c r="H470" s="3" t="str">
        <f t="shared" si="77"/>
        <v/>
      </c>
      <c r="I470" s="18" t="str">
        <f t="shared" si="87"/>
        <v/>
      </c>
      <c r="J470" s="18" t="str">
        <f t="shared" si="82"/>
        <v/>
      </c>
      <c r="K470" s="18" t="str">
        <f t="shared" si="83"/>
        <v/>
      </c>
      <c r="L470" s="18" t="str">
        <f t="shared" si="84"/>
        <v/>
      </c>
      <c r="M470" s="19" t="str">
        <f t="shared" si="85"/>
        <v/>
      </c>
    </row>
    <row r="471" spans="1:13" x14ac:dyDescent="0.25">
      <c r="A471" s="3" t="str">
        <f>IF(B471&lt;&gt;"",461,"")</f>
        <v/>
      </c>
      <c r="B471" s="18" t="str">
        <f t="shared" si="86"/>
        <v/>
      </c>
      <c r="C471" s="18" t="str">
        <f t="shared" si="78"/>
        <v/>
      </c>
      <c r="D471" s="18" t="str">
        <f t="shared" si="79"/>
        <v/>
      </c>
      <c r="E471" s="18" t="str">
        <f t="shared" si="80"/>
        <v/>
      </c>
      <c r="F471" s="19" t="str">
        <f t="shared" si="81"/>
        <v/>
      </c>
      <c r="H471" s="3" t="str">
        <f t="shared" si="77"/>
        <v/>
      </c>
      <c r="I471" s="18" t="str">
        <f t="shared" si="87"/>
        <v/>
      </c>
      <c r="J471" s="18" t="str">
        <f t="shared" si="82"/>
        <v/>
      </c>
      <c r="K471" s="18" t="str">
        <f t="shared" si="83"/>
        <v/>
      </c>
      <c r="L471" s="18" t="str">
        <f t="shared" si="84"/>
        <v/>
      </c>
      <c r="M471" s="19" t="str">
        <f t="shared" si="85"/>
        <v/>
      </c>
    </row>
    <row r="472" spans="1:13" x14ac:dyDescent="0.25">
      <c r="A472" s="3" t="str">
        <f>IF(B472&lt;&gt;"",462,"")</f>
        <v/>
      </c>
      <c r="B472" s="18" t="str">
        <f t="shared" si="86"/>
        <v/>
      </c>
      <c r="C472" s="18" t="str">
        <f t="shared" si="78"/>
        <v/>
      </c>
      <c r="D472" s="18" t="str">
        <f t="shared" si="79"/>
        <v/>
      </c>
      <c r="E472" s="18" t="str">
        <f t="shared" si="80"/>
        <v/>
      </c>
      <c r="F472" s="19" t="str">
        <f t="shared" si="81"/>
        <v/>
      </c>
      <c r="H472" s="3" t="str">
        <f t="shared" si="77"/>
        <v/>
      </c>
      <c r="I472" s="18" t="str">
        <f t="shared" si="87"/>
        <v/>
      </c>
      <c r="J472" s="18" t="str">
        <f t="shared" si="82"/>
        <v/>
      </c>
      <c r="K472" s="18" t="str">
        <f t="shared" si="83"/>
        <v/>
      </c>
      <c r="L472" s="18" t="str">
        <f t="shared" si="84"/>
        <v/>
      </c>
      <c r="M472" s="19" t="str">
        <f t="shared" si="85"/>
        <v/>
      </c>
    </row>
    <row r="473" spans="1:13" x14ac:dyDescent="0.25">
      <c r="A473" s="3" t="str">
        <f>IF(B473&lt;&gt;"",463,"")</f>
        <v/>
      </c>
      <c r="B473" s="18" t="str">
        <f t="shared" si="86"/>
        <v/>
      </c>
      <c r="C473" s="18" t="str">
        <f t="shared" si="78"/>
        <v/>
      </c>
      <c r="D473" s="18" t="str">
        <f t="shared" si="79"/>
        <v/>
      </c>
      <c r="E473" s="18" t="str">
        <f t="shared" si="80"/>
        <v/>
      </c>
      <c r="F473" s="19" t="str">
        <f t="shared" si="81"/>
        <v/>
      </c>
      <c r="H473" s="3" t="str">
        <f t="shared" si="77"/>
        <v/>
      </c>
      <c r="I473" s="18" t="str">
        <f t="shared" si="87"/>
        <v/>
      </c>
      <c r="J473" s="18" t="str">
        <f t="shared" si="82"/>
        <v/>
      </c>
      <c r="K473" s="18" t="str">
        <f t="shared" si="83"/>
        <v/>
      </c>
      <c r="L473" s="18" t="str">
        <f t="shared" si="84"/>
        <v/>
      </c>
      <c r="M473" s="19" t="str">
        <f t="shared" si="85"/>
        <v/>
      </c>
    </row>
    <row r="474" spans="1:13" x14ac:dyDescent="0.25">
      <c r="A474" s="3" t="str">
        <f>IF(B474&lt;&gt;"",464,"")</f>
        <v/>
      </c>
      <c r="B474" s="18" t="str">
        <f t="shared" si="86"/>
        <v/>
      </c>
      <c r="C474" s="18" t="str">
        <f t="shared" si="78"/>
        <v/>
      </c>
      <c r="D474" s="18" t="str">
        <f t="shared" si="79"/>
        <v/>
      </c>
      <c r="E474" s="18" t="str">
        <f t="shared" si="80"/>
        <v/>
      </c>
      <c r="F474" s="19" t="str">
        <f t="shared" si="81"/>
        <v/>
      </c>
      <c r="H474" s="3" t="str">
        <f t="shared" si="77"/>
        <v/>
      </c>
      <c r="I474" s="18" t="str">
        <f t="shared" si="87"/>
        <v/>
      </c>
      <c r="J474" s="18" t="str">
        <f t="shared" si="82"/>
        <v/>
      </c>
      <c r="K474" s="18" t="str">
        <f t="shared" si="83"/>
        <v/>
      </c>
      <c r="L474" s="18" t="str">
        <f t="shared" si="84"/>
        <v/>
      </c>
      <c r="M474" s="19" t="str">
        <f t="shared" si="85"/>
        <v/>
      </c>
    </row>
    <row r="475" spans="1:13" x14ac:dyDescent="0.25">
      <c r="A475" s="3" t="str">
        <f>IF(B475&lt;&gt;"",465,"")</f>
        <v/>
      </c>
      <c r="B475" s="18" t="str">
        <f t="shared" si="86"/>
        <v/>
      </c>
      <c r="C475" s="18" t="str">
        <f t="shared" si="78"/>
        <v/>
      </c>
      <c r="D475" s="18" t="str">
        <f t="shared" si="79"/>
        <v/>
      </c>
      <c r="E475" s="18" t="str">
        <f t="shared" si="80"/>
        <v/>
      </c>
      <c r="F475" s="19" t="str">
        <f t="shared" si="81"/>
        <v/>
      </c>
      <c r="H475" s="3" t="str">
        <f t="shared" si="77"/>
        <v/>
      </c>
      <c r="I475" s="18" t="str">
        <f t="shared" si="87"/>
        <v/>
      </c>
      <c r="J475" s="18" t="str">
        <f t="shared" si="82"/>
        <v/>
      </c>
      <c r="K475" s="18" t="str">
        <f t="shared" si="83"/>
        <v/>
      </c>
      <c r="L475" s="18" t="str">
        <f t="shared" si="84"/>
        <v/>
      </c>
      <c r="M475" s="19" t="str">
        <f t="shared" si="85"/>
        <v/>
      </c>
    </row>
    <row r="476" spans="1:13" x14ac:dyDescent="0.25">
      <c r="A476" s="3" t="str">
        <f>IF(B476&lt;&gt;"",466,"")</f>
        <v/>
      </c>
      <c r="B476" s="18" t="str">
        <f t="shared" si="86"/>
        <v/>
      </c>
      <c r="C476" s="18" t="str">
        <f t="shared" si="78"/>
        <v/>
      </c>
      <c r="D476" s="18" t="str">
        <f t="shared" si="79"/>
        <v/>
      </c>
      <c r="E476" s="18" t="str">
        <f t="shared" si="80"/>
        <v/>
      </c>
      <c r="F476" s="19" t="str">
        <f t="shared" si="81"/>
        <v/>
      </c>
      <c r="H476" s="3" t="str">
        <f t="shared" si="77"/>
        <v/>
      </c>
      <c r="I476" s="18" t="str">
        <f t="shared" si="87"/>
        <v/>
      </c>
      <c r="J476" s="18" t="str">
        <f t="shared" si="82"/>
        <v/>
      </c>
      <c r="K476" s="18" t="str">
        <f t="shared" si="83"/>
        <v/>
      </c>
      <c r="L476" s="18" t="str">
        <f t="shared" si="84"/>
        <v/>
      </c>
      <c r="M476" s="19" t="str">
        <f t="shared" si="85"/>
        <v/>
      </c>
    </row>
    <row r="477" spans="1:13" x14ac:dyDescent="0.25">
      <c r="A477" s="3" t="str">
        <f>IF(B477&lt;&gt;"",467,"")</f>
        <v/>
      </c>
      <c r="B477" s="18" t="str">
        <f t="shared" si="86"/>
        <v/>
      </c>
      <c r="C477" s="18" t="str">
        <f t="shared" si="78"/>
        <v/>
      </c>
      <c r="D477" s="18" t="str">
        <f t="shared" si="79"/>
        <v/>
      </c>
      <c r="E477" s="18" t="str">
        <f t="shared" si="80"/>
        <v/>
      </c>
      <c r="F477" s="19" t="str">
        <f t="shared" si="81"/>
        <v/>
      </c>
      <c r="H477" s="3" t="str">
        <f t="shared" si="77"/>
        <v/>
      </c>
      <c r="I477" s="18" t="str">
        <f t="shared" si="87"/>
        <v/>
      </c>
      <c r="J477" s="18" t="str">
        <f t="shared" si="82"/>
        <v/>
      </c>
      <c r="K477" s="18" t="str">
        <f t="shared" si="83"/>
        <v/>
      </c>
      <c r="L477" s="18" t="str">
        <f t="shared" si="84"/>
        <v/>
      </c>
      <c r="M477" s="19" t="str">
        <f t="shared" si="85"/>
        <v/>
      </c>
    </row>
    <row r="478" spans="1:13" x14ac:dyDescent="0.25">
      <c r="A478" s="3" t="str">
        <f>IF(B478&lt;&gt;"",468,"")</f>
        <v/>
      </c>
      <c r="B478" s="18" t="str">
        <f t="shared" si="86"/>
        <v/>
      </c>
      <c r="C478" s="18" t="str">
        <f t="shared" si="78"/>
        <v/>
      </c>
      <c r="D478" s="18" t="str">
        <f t="shared" si="79"/>
        <v/>
      </c>
      <c r="E478" s="18" t="str">
        <f t="shared" si="80"/>
        <v/>
      </c>
      <c r="F478" s="19" t="str">
        <f t="shared" si="81"/>
        <v/>
      </c>
      <c r="H478" s="3" t="str">
        <f t="shared" si="77"/>
        <v/>
      </c>
      <c r="I478" s="18" t="str">
        <f t="shared" si="87"/>
        <v/>
      </c>
      <c r="J478" s="18" t="str">
        <f t="shared" si="82"/>
        <v/>
      </c>
      <c r="K478" s="18" t="str">
        <f t="shared" si="83"/>
        <v/>
      </c>
      <c r="L478" s="18" t="str">
        <f t="shared" si="84"/>
        <v/>
      </c>
      <c r="M478" s="19" t="str">
        <f t="shared" si="85"/>
        <v/>
      </c>
    </row>
    <row r="479" spans="1:13" x14ac:dyDescent="0.25">
      <c r="A479" s="3" t="str">
        <f>IF(B479&lt;&gt;"",469,"")</f>
        <v/>
      </c>
      <c r="B479" s="18" t="str">
        <f t="shared" si="86"/>
        <v/>
      </c>
      <c r="C479" s="18" t="str">
        <f t="shared" si="78"/>
        <v/>
      </c>
      <c r="D479" s="18" t="str">
        <f t="shared" si="79"/>
        <v/>
      </c>
      <c r="E479" s="18" t="str">
        <f t="shared" si="80"/>
        <v/>
      </c>
      <c r="F479" s="19" t="str">
        <f t="shared" si="81"/>
        <v/>
      </c>
      <c r="H479" s="3" t="str">
        <f t="shared" si="77"/>
        <v/>
      </c>
      <c r="I479" s="18" t="str">
        <f t="shared" si="87"/>
        <v/>
      </c>
      <c r="J479" s="18" t="str">
        <f t="shared" si="82"/>
        <v/>
      </c>
      <c r="K479" s="18" t="str">
        <f t="shared" si="83"/>
        <v/>
      </c>
      <c r="L479" s="18" t="str">
        <f t="shared" si="84"/>
        <v/>
      </c>
      <c r="M479" s="19" t="str">
        <f t="shared" si="85"/>
        <v/>
      </c>
    </row>
    <row r="480" spans="1:13" x14ac:dyDescent="0.25">
      <c r="A480" s="3" t="str">
        <f>IF(B480&lt;&gt;"",470,"")</f>
        <v/>
      </c>
      <c r="B480" s="18" t="str">
        <f t="shared" si="86"/>
        <v/>
      </c>
      <c r="C480" s="18" t="str">
        <f t="shared" si="78"/>
        <v/>
      </c>
      <c r="D480" s="18" t="str">
        <f t="shared" si="79"/>
        <v/>
      </c>
      <c r="E480" s="18" t="str">
        <f t="shared" si="80"/>
        <v/>
      </c>
      <c r="F480" s="19" t="str">
        <f t="shared" si="81"/>
        <v/>
      </c>
      <c r="H480" s="3" t="str">
        <f t="shared" si="77"/>
        <v/>
      </c>
      <c r="I480" s="18" t="str">
        <f t="shared" si="87"/>
        <v/>
      </c>
      <c r="J480" s="18" t="str">
        <f t="shared" si="82"/>
        <v/>
      </c>
      <c r="K480" s="18" t="str">
        <f t="shared" si="83"/>
        <v/>
      </c>
      <c r="L480" s="18" t="str">
        <f t="shared" si="84"/>
        <v/>
      </c>
      <c r="M480" s="19" t="str">
        <f t="shared" si="85"/>
        <v/>
      </c>
    </row>
    <row r="481" spans="1:13" x14ac:dyDescent="0.25">
      <c r="A481" s="3" t="str">
        <f>IF(B481&lt;&gt;"",471,"")</f>
        <v/>
      </c>
      <c r="B481" s="18" t="str">
        <f t="shared" si="86"/>
        <v/>
      </c>
      <c r="C481" s="18" t="str">
        <f t="shared" si="78"/>
        <v/>
      </c>
      <c r="D481" s="18" t="str">
        <f t="shared" si="79"/>
        <v/>
      </c>
      <c r="E481" s="18" t="str">
        <f t="shared" si="80"/>
        <v/>
      </c>
      <c r="F481" s="19" t="str">
        <f t="shared" si="81"/>
        <v/>
      </c>
      <c r="H481" s="3" t="str">
        <f t="shared" si="77"/>
        <v/>
      </c>
      <c r="I481" s="18" t="str">
        <f t="shared" si="87"/>
        <v/>
      </c>
      <c r="J481" s="18" t="str">
        <f t="shared" si="82"/>
        <v/>
      </c>
      <c r="K481" s="18" t="str">
        <f t="shared" si="83"/>
        <v/>
      </c>
      <c r="L481" s="18" t="str">
        <f t="shared" si="84"/>
        <v/>
      </c>
      <c r="M481" s="19" t="str">
        <f t="shared" si="85"/>
        <v/>
      </c>
    </row>
    <row r="482" spans="1:13" x14ac:dyDescent="0.25">
      <c r="A482" s="3" t="str">
        <f>IF(B482&lt;&gt;"",472,"")</f>
        <v/>
      </c>
      <c r="B482" s="18" t="str">
        <f t="shared" si="86"/>
        <v/>
      </c>
      <c r="C482" s="18" t="str">
        <f t="shared" si="78"/>
        <v/>
      </c>
      <c r="D482" s="18" t="str">
        <f t="shared" si="79"/>
        <v/>
      </c>
      <c r="E482" s="18" t="str">
        <f t="shared" si="80"/>
        <v/>
      </c>
      <c r="F482" s="19" t="str">
        <f t="shared" si="81"/>
        <v/>
      </c>
      <c r="H482" s="3" t="str">
        <f t="shared" si="77"/>
        <v/>
      </c>
      <c r="I482" s="18" t="str">
        <f t="shared" si="87"/>
        <v/>
      </c>
      <c r="J482" s="18" t="str">
        <f t="shared" si="82"/>
        <v/>
      </c>
      <c r="K482" s="18" t="str">
        <f t="shared" si="83"/>
        <v/>
      </c>
      <c r="L482" s="18" t="str">
        <f t="shared" si="84"/>
        <v/>
      </c>
      <c r="M482" s="19" t="str">
        <f t="shared" si="85"/>
        <v/>
      </c>
    </row>
    <row r="483" spans="1:13" x14ac:dyDescent="0.25">
      <c r="A483" s="3" t="str">
        <f>IF(B483&lt;&gt;"",473,"")</f>
        <v/>
      </c>
      <c r="B483" s="18" t="str">
        <f t="shared" si="86"/>
        <v/>
      </c>
      <c r="C483" s="18" t="str">
        <f t="shared" si="78"/>
        <v/>
      </c>
      <c r="D483" s="18" t="str">
        <f t="shared" si="79"/>
        <v/>
      </c>
      <c r="E483" s="18" t="str">
        <f t="shared" si="80"/>
        <v/>
      </c>
      <c r="F483" s="19" t="str">
        <f t="shared" si="81"/>
        <v/>
      </c>
      <c r="H483" s="3" t="str">
        <f t="shared" si="77"/>
        <v/>
      </c>
      <c r="I483" s="18" t="str">
        <f t="shared" si="87"/>
        <v/>
      </c>
      <c r="J483" s="18" t="str">
        <f t="shared" si="82"/>
        <v/>
      </c>
      <c r="K483" s="18" t="str">
        <f t="shared" si="83"/>
        <v/>
      </c>
      <c r="L483" s="18" t="str">
        <f t="shared" si="84"/>
        <v/>
      </c>
      <c r="M483" s="19" t="str">
        <f t="shared" si="85"/>
        <v/>
      </c>
    </row>
    <row r="484" spans="1:13" x14ac:dyDescent="0.25">
      <c r="A484" s="3" t="str">
        <f>IF(B484&lt;&gt;"",474,"")</f>
        <v/>
      </c>
      <c r="B484" s="18" t="str">
        <f t="shared" si="86"/>
        <v/>
      </c>
      <c r="C484" s="18" t="str">
        <f t="shared" si="78"/>
        <v/>
      </c>
      <c r="D484" s="18" t="str">
        <f t="shared" si="79"/>
        <v/>
      </c>
      <c r="E484" s="18" t="str">
        <f t="shared" si="80"/>
        <v/>
      </c>
      <c r="F484" s="19" t="str">
        <f t="shared" si="81"/>
        <v/>
      </c>
      <c r="H484" s="3" t="str">
        <f t="shared" si="77"/>
        <v/>
      </c>
      <c r="I484" s="18" t="str">
        <f t="shared" si="87"/>
        <v/>
      </c>
      <c r="J484" s="18" t="str">
        <f t="shared" si="82"/>
        <v/>
      </c>
      <c r="K484" s="18" t="str">
        <f t="shared" si="83"/>
        <v/>
      </c>
      <c r="L484" s="18" t="str">
        <f t="shared" si="84"/>
        <v/>
      </c>
      <c r="M484" s="19" t="str">
        <f t="shared" si="85"/>
        <v/>
      </c>
    </row>
    <row r="485" spans="1:13" x14ac:dyDescent="0.25">
      <c r="A485" s="3" t="str">
        <f>IF(B485&lt;&gt;"",475,"")</f>
        <v/>
      </c>
      <c r="B485" s="18" t="str">
        <f t="shared" si="86"/>
        <v/>
      </c>
      <c r="C485" s="18" t="str">
        <f t="shared" si="78"/>
        <v/>
      </c>
      <c r="D485" s="18" t="str">
        <f t="shared" si="79"/>
        <v/>
      </c>
      <c r="E485" s="18" t="str">
        <f t="shared" si="80"/>
        <v/>
      </c>
      <c r="F485" s="19" t="str">
        <f t="shared" si="81"/>
        <v/>
      </c>
      <c r="H485" s="3" t="str">
        <f t="shared" si="77"/>
        <v/>
      </c>
      <c r="I485" s="18" t="str">
        <f t="shared" si="87"/>
        <v/>
      </c>
      <c r="J485" s="18" t="str">
        <f t="shared" si="82"/>
        <v/>
      </c>
      <c r="K485" s="18" t="str">
        <f t="shared" si="83"/>
        <v/>
      </c>
      <c r="L485" s="18" t="str">
        <f t="shared" si="84"/>
        <v/>
      </c>
      <c r="M485" s="19" t="str">
        <f t="shared" si="85"/>
        <v/>
      </c>
    </row>
    <row r="486" spans="1:13" x14ac:dyDescent="0.25">
      <c r="A486" s="3" t="str">
        <f>IF(B486&lt;&gt;"",476,"")</f>
        <v/>
      </c>
      <c r="B486" s="18" t="str">
        <f t="shared" si="86"/>
        <v/>
      </c>
      <c r="C486" s="18" t="str">
        <f t="shared" si="78"/>
        <v/>
      </c>
      <c r="D486" s="18" t="str">
        <f t="shared" si="79"/>
        <v/>
      </c>
      <c r="E486" s="18" t="str">
        <f t="shared" si="80"/>
        <v/>
      </c>
      <c r="F486" s="19" t="str">
        <f t="shared" si="81"/>
        <v/>
      </c>
      <c r="H486" s="3" t="str">
        <f t="shared" si="77"/>
        <v/>
      </c>
      <c r="I486" s="18" t="str">
        <f t="shared" si="87"/>
        <v/>
      </c>
      <c r="J486" s="18" t="str">
        <f t="shared" si="82"/>
        <v/>
      </c>
      <c r="K486" s="18" t="str">
        <f t="shared" si="83"/>
        <v/>
      </c>
      <c r="L486" s="18" t="str">
        <f t="shared" si="84"/>
        <v/>
      </c>
      <c r="M486" s="19" t="str">
        <f t="shared" si="85"/>
        <v/>
      </c>
    </row>
    <row r="487" spans="1:13" x14ac:dyDescent="0.25">
      <c r="A487" s="3" t="str">
        <f>IF(B487&lt;&gt;"",477,"")</f>
        <v/>
      </c>
      <c r="B487" s="18" t="str">
        <f t="shared" si="86"/>
        <v/>
      </c>
      <c r="C487" s="18" t="str">
        <f t="shared" si="78"/>
        <v/>
      </c>
      <c r="D487" s="18" t="str">
        <f t="shared" si="79"/>
        <v/>
      </c>
      <c r="E487" s="18" t="str">
        <f t="shared" si="80"/>
        <v/>
      </c>
      <c r="F487" s="19" t="str">
        <f t="shared" si="81"/>
        <v/>
      </c>
      <c r="H487" s="3" t="str">
        <f t="shared" si="77"/>
        <v/>
      </c>
      <c r="I487" s="18" t="str">
        <f t="shared" si="87"/>
        <v/>
      </c>
      <c r="J487" s="18" t="str">
        <f t="shared" si="82"/>
        <v/>
      </c>
      <c r="K487" s="18" t="str">
        <f t="shared" si="83"/>
        <v/>
      </c>
      <c r="L487" s="18" t="str">
        <f t="shared" si="84"/>
        <v/>
      </c>
      <c r="M487" s="19" t="str">
        <f t="shared" si="85"/>
        <v/>
      </c>
    </row>
    <row r="488" spans="1:13" x14ac:dyDescent="0.25">
      <c r="A488" s="3" t="str">
        <f>IF(B488&lt;&gt;"",478,"")</f>
        <v/>
      </c>
      <c r="B488" s="18" t="str">
        <f t="shared" si="86"/>
        <v/>
      </c>
      <c r="C488" s="18" t="str">
        <f t="shared" si="78"/>
        <v/>
      </c>
      <c r="D488" s="18" t="str">
        <f t="shared" si="79"/>
        <v/>
      </c>
      <c r="E488" s="18" t="str">
        <f t="shared" si="80"/>
        <v/>
      </c>
      <c r="F488" s="19" t="str">
        <f t="shared" si="81"/>
        <v/>
      </c>
      <c r="H488" s="3" t="str">
        <f t="shared" si="77"/>
        <v/>
      </c>
      <c r="I488" s="18" t="str">
        <f t="shared" si="87"/>
        <v/>
      </c>
      <c r="J488" s="18" t="str">
        <f t="shared" si="82"/>
        <v/>
      </c>
      <c r="K488" s="18" t="str">
        <f t="shared" si="83"/>
        <v/>
      </c>
      <c r="L488" s="18" t="str">
        <f t="shared" si="84"/>
        <v/>
      </c>
      <c r="M488" s="19" t="str">
        <f t="shared" si="85"/>
        <v/>
      </c>
    </row>
    <row r="489" spans="1:13" x14ac:dyDescent="0.25">
      <c r="A489" s="3" t="str">
        <f>IF(B489&lt;&gt;"",479,"")</f>
        <v/>
      </c>
      <c r="B489" s="18" t="str">
        <f t="shared" si="86"/>
        <v/>
      </c>
      <c r="C489" s="18" t="str">
        <f t="shared" si="78"/>
        <v/>
      </c>
      <c r="D489" s="18" t="str">
        <f t="shared" si="79"/>
        <v/>
      </c>
      <c r="E489" s="18" t="str">
        <f t="shared" si="80"/>
        <v/>
      </c>
      <c r="F489" s="19" t="str">
        <f t="shared" si="81"/>
        <v/>
      </c>
      <c r="H489" s="3" t="str">
        <f t="shared" si="77"/>
        <v/>
      </c>
      <c r="I489" s="18" t="str">
        <f t="shared" si="87"/>
        <v/>
      </c>
      <c r="J489" s="18" t="str">
        <f t="shared" si="82"/>
        <v/>
      </c>
      <c r="K489" s="18" t="str">
        <f t="shared" si="83"/>
        <v/>
      </c>
      <c r="L489" s="18" t="str">
        <f t="shared" si="84"/>
        <v/>
      </c>
      <c r="M489" s="19" t="str">
        <f t="shared" si="85"/>
        <v/>
      </c>
    </row>
    <row r="490" spans="1:13" x14ac:dyDescent="0.25">
      <c r="A490" s="3" t="str">
        <f>IF(B490&lt;&gt;"",480,"")</f>
        <v/>
      </c>
      <c r="B490" s="18" t="str">
        <f t="shared" si="86"/>
        <v/>
      </c>
      <c r="C490" s="18" t="str">
        <f t="shared" si="78"/>
        <v/>
      </c>
      <c r="D490" s="18" t="str">
        <f t="shared" si="79"/>
        <v/>
      </c>
      <c r="E490" s="18" t="str">
        <f t="shared" si="80"/>
        <v/>
      </c>
      <c r="F490" s="19" t="str">
        <f t="shared" si="81"/>
        <v/>
      </c>
      <c r="H490" s="3" t="str">
        <f t="shared" si="77"/>
        <v/>
      </c>
      <c r="I490" s="18" t="str">
        <f t="shared" si="87"/>
        <v/>
      </c>
      <c r="J490" s="18" t="str">
        <f t="shared" si="82"/>
        <v/>
      </c>
      <c r="K490" s="18" t="str">
        <f t="shared" si="83"/>
        <v/>
      </c>
      <c r="L490" s="18" t="str">
        <f t="shared" si="84"/>
        <v/>
      </c>
      <c r="M490" s="19" t="str">
        <f t="shared" si="85"/>
        <v/>
      </c>
    </row>
    <row r="491" spans="1:13" x14ac:dyDescent="0.25">
      <c r="A491" s="3" t="str">
        <f>IF(B491&lt;&gt;"",481,"")</f>
        <v/>
      </c>
      <c r="B491" s="18" t="str">
        <f t="shared" si="86"/>
        <v/>
      </c>
      <c r="C491" s="18" t="str">
        <f t="shared" si="78"/>
        <v/>
      </c>
      <c r="D491" s="18" t="str">
        <f t="shared" si="79"/>
        <v/>
      </c>
      <c r="E491" s="18" t="str">
        <f t="shared" si="80"/>
        <v/>
      </c>
      <c r="F491" s="19" t="str">
        <f t="shared" si="81"/>
        <v/>
      </c>
      <c r="H491" s="3" t="str">
        <f t="shared" si="77"/>
        <v/>
      </c>
      <c r="I491" s="18" t="str">
        <f t="shared" si="87"/>
        <v/>
      </c>
      <c r="J491" s="18" t="str">
        <f t="shared" si="82"/>
        <v/>
      </c>
      <c r="K491" s="18" t="str">
        <f t="shared" si="83"/>
        <v/>
      </c>
      <c r="L491" s="18" t="str">
        <f t="shared" si="84"/>
        <v/>
      </c>
      <c r="M491" s="19" t="str">
        <f t="shared" si="85"/>
        <v/>
      </c>
    </row>
    <row r="492" spans="1:13" x14ac:dyDescent="0.25">
      <c r="A492" s="3" t="str">
        <f>IF(B492&lt;&gt;"",482,"")</f>
        <v/>
      </c>
      <c r="B492" s="18" t="str">
        <f t="shared" si="86"/>
        <v/>
      </c>
      <c r="C492" s="18" t="str">
        <f t="shared" si="78"/>
        <v/>
      </c>
      <c r="D492" s="18" t="str">
        <f t="shared" si="79"/>
        <v/>
      </c>
      <c r="E492" s="18" t="str">
        <f t="shared" si="80"/>
        <v/>
      </c>
      <c r="F492" s="19" t="str">
        <f t="shared" si="81"/>
        <v/>
      </c>
      <c r="H492" s="3" t="str">
        <f t="shared" si="77"/>
        <v/>
      </c>
      <c r="I492" s="18" t="str">
        <f t="shared" si="87"/>
        <v/>
      </c>
      <c r="J492" s="18" t="str">
        <f t="shared" si="82"/>
        <v/>
      </c>
      <c r="K492" s="18" t="str">
        <f t="shared" si="83"/>
        <v/>
      </c>
      <c r="L492" s="18" t="str">
        <f t="shared" si="84"/>
        <v/>
      </c>
      <c r="M492" s="19" t="str">
        <f t="shared" si="85"/>
        <v/>
      </c>
    </row>
    <row r="493" spans="1:13" x14ac:dyDescent="0.25">
      <c r="A493" s="3" t="str">
        <f>IF(B493&lt;&gt;"",483,"")</f>
        <v/>
      </c>
      <c r="B493" s="18" t="str">
        <f t="shared" si="86"/>
        <v/>
      </c>
      <c r="C493" s="18" t="str">
        <f t="shared" si="78"/>
        <v/>
      </c>
      <c r="D493" s="18" t="str">
        <f t="shared" si="79"/>
        <v/>
      </c>
      <c r="E493" s="18" t="str">
        <f t="shared" si="80"/>
        <v/>
      </c>
      <c r="F493" s="19" t="str">
        <f t="shared" si="81"/>
        <v/>
      </c>
      <c r="H493" s="3" t="str">
        <f t="shared" si="77"/>
        <v/>
      </c>
      <c r="I493" s="18" t="str">
        <f t="shared" si="87"/>
        <v/>
      </c>
      <c r="J493" s="18" t="str">
        <f t="shared" si="82"/>
        <v/>
      </c>
      <c r="K493" s="18" t="str">
        <f t="shared" si="83"/>
        <v/>
      </c>
      <c r="L493" s="18" t="str">
        <f t="shared" si="84"/>
        <v/>
      </c>
      <c r="M493" s="19" t="str">
        <f t="shared" si="85"/>
        <v/>
      </c>
    </row>
    <row r="494" spans="1:13" x14ac:dyDescent="0.25">
      <c r="A494" s="3" t="str">
        <f>IF(B494&lt;&gt;"",484,"")</f>
        <v/>
      </c>
      <c r="B494" s="18" t="str">
        <f t="shared" si="86"/>
        <v/>
      </c>
      <c r="C494" s="18" t="str">
        <f t="shared" si="78"/>
        <v/>
      </c>
      <c r="D494" s="18" t="str">
        <f t="shared" si="79"/>
        <v/>
      </c>
      <c r="E494" s="18" t="str">
        <f t="shared" si="80"/>
        <v/>
      </c>
      <c r="F494" s="19" t="str">
        <f t="shared" si="81"/>
        <v/>
      </c>
      <c r="H494" s="3" t="str">
        <f t="shared" si="77"/>
        <v/>
      </c>
      <c r="I494" s="18" t="str">
        <f t="shared" si="87"/>
        <v/>
      </c>
      <c r="J494" s="18" t="str">
        <f t="shared" si="82"/>
        <v/>
      </c>
      <c r="K494" s="18" t="str">
        <f t="shared" si="83"/>
        <v/>
      </c>
      <c r="L494" s="18" t="str">
        <f t="shared" si="84"/>
        <v/>
      </c>
      <c r="M494" s="19" t="str">
        <f t="shared" si="85"/>
        <v/>
      </c>
    </row>
    <row r="495" spans="1:13" x14ac:dyDescent="0.25">
      <c r="A495" s="3" t="str">
        <f>IF(B495&lt;&gt;"",485,"")</f>
        <v/>
      </c>
      <c r="B495" s="18" t="str">
        <f t="shared" si="86"/>
        <v/>
      </c>
      <c r="C495" s="18" t="str">
        <f t="shared" si="78"/>
        <v/>
      </c>
      <c r="D495" s="18" t="str">
        <f t="shared" si="79"/>
        <v/>
      </c>
      <c r="E495" s="18" t="str">
        <f t="shared" si="80"/>
        <v/>
      </c>
      <c r="F495" s="19" t="str">
        <f t="shared" si="81"/>
        <v/>
      </c>
      <c r="H495" s="3" t="str">
        <f t="shared" si="77"/>
        <v/>
      </c>
      <c r="I495" s="18" t="str">
        <f t="shared" si="87"/>
        <v/>
      </c>
      <c r="J495" s="18" t="str">
        <f t="shared" si="82"/>
        <v/>
      </c>
      <c r="K495" s="18" t="str">
        <f t="shared" si="83"/>
        <v/>
      </c>
      <c r="L495" s="18" t="str">
        <f t="shared" si="84"/>
        <v/>
      </c>
      <c r="M495" s="19" t="str">
        <f t="shared" si="85"/>
        <v/>
      </c>
    </row>
    <row r="496" spans="1:13" x14ac:dyDescent="0.25">
      <c r="A496" s="3" t="str">
        <f>IF(B496&lt;&gt;"",486,"")</f>
        <v/>
      </c>
      <c r="B496" s="18" t="str">
        <f t="shared" si="86"/>
        <v/>
      </c>
      <c r="C496" s="18" t="str">
        <f t="shared" si="78"/>
        <v/>
      </c>
      <c r="D496" s="18" t="str">
        <f t="shared" si="79"/>
        <v/>
      </c>
      <c r="E496" s="18" t="str">
        <f t="shared" si="80"/>
        <v/>
      </c>
      <c r="F496" s="19" t="str">
        <f t="shared" si="81"/>
        <v/>
      </c>
      <c r="H496" s="3" t="str">
        <f t="shared" si="77"/>
        <v/>
      </c>
      <c r="I496" s="18" t="str">
        <f t="shared" si="87"/>
        <v/>
      </c>
      <c r="J496" s="18" t="str">
        <f t="shared" si="82"/>
        <v/>
      </c>
      <c r="K496" s="18" t="str">
        <f t="shared" si="83"/>
        <v/>
      </c>
      <c r="L496" s="18" t="str">
        <f t="shared" si="84"/>
        <v/>
      </c>
      <c r="M496" s="19" t="str">
        <f t="shared" si="85"/>
        <v/>
      </c>
    </row>
    <row r="497" spans="1:13" x14ac:dyDescent="0.25">
      <c r="A497" s="3" t="str">
        <f>IF(B497&lt;&gt;"",487,"")</f>
        <v/>
      </c>
      <c r="B497" s="18" t="str">
        <f t="shared" si="86"/>
        <v/>
      </c>
      <c r="C497" s="18" t="str">
        <f t="shared" si="78"/>
        <v/>
      </c>
      <c r="D497" s="18" t="str">
        <f t="shared" si="79"/>
        <v/>
      </c>
      <c r="E497" s="18" t="str">
        <f t="shared" si="80"/>
        <v/>
      </c>
      <c r="F497" s="19" t="str">
        <f t="shared" si="81"/>
        <v/>
      </c>
      <c r="H497" s="3" t="str">
        <f t="shared" si="77"/>
        <v/>
      </c>
      <c r="I497" s="18" t="str">
        <f t="shared" si="87"/>
        <v/>
      </c>
      <c r="J497" s="18" t="str">
        <f t="shared" si="82"/>
        <v/>
      </c>
      <c r="K497" s="18" t="str">
        <f t="shared" si="83"/>
        <v/>
      </c>
      <c r="L497" s="18" t="str">
        <f t="shared" si="84"/>
        <v/>
      </c>
      <c r="M497" s="19" t="str">
        <f t="shared" si="85"/>
        <v/>
      </c>
    </row>
    <row r="498" spans="1:13" x14ac:dyDescent="0.25">
      <c r="A498" s="3" t="str">
        <f>IF(B498&lt;&gt;"",488,"")</f>
        <v/>
      </c>
      <c r="B498" s="18" t="str">
        <f t="shared" si="86"/>
        <v/>
      </c>
      <c r="C498" s="18" t="str">
        <f t="shared" si="78"/>
        <v/>
      </c>
      <c r="D498" s="18" t="str">
        <f t="shared" si="79"/>
        <v/>
      </c>
      <c r="E498" s="18" t="str">
        <f t="shared" si="80"/>
        <v/>
      </c>
      <c r="F498" s="19" t="str">
        <f t="shared" si="81"/>
        <v/>
      </c>
      <c r="H498" s="3" t="str">
        <f t="shared" si="77"/>
        <v/>
      </c>
      <c r="I498" s="18" t="str">
        <f t="shared" si="87"/>
        <v/>
      </c>
      <c r="J498" s="18" t="str">
        <f t="shared" si="82"/>
        <v/>
      </c>
      <c r="K498" s="18" t="str">
        <f t="shared" si="83"/>
        <v/>
      </c>
      <c r="L498" s="18" t="str">
        <f t="shared" si="84"/>
        <v/>
      </c>
      <c r="M498" s="19" t="str">
        <f t="shared" si="85"/>
        <v/>
      </c>
    </row>
    <row r="499" spans="1:13" x14ac:dyDescent="0.25">
      <c r="A499" s="3" t="str">
        <f>IF(B499&lt;&gt;"",489,"")</f>
        <v/>
      </c>
      <c r="B499" s="18" t="str">
        <f t="shared" si="86"/>
        <v/>
      </c>
      <c r="C499" s="18" t="str">
        <f t="shared" si="78"/>
        <v/>
      </c>
      <c r="D499" s="18" t="str">
        <f t="shared" si="79"/>
        <v/>
      </c>
      <c r="E499" s="18" t="str">
        <f t="shared" si="80"/>
        <v/>
      </c>
      <c r="F499" s="19" t="str">
        <f t="shared" si="81"/>
        <v/>
      </c>
      <c r="H499" s="3" t="str">
        <f t="shared" si="77"/>
        <v/>
      </c>
      <c r="I499" s="18" t="str">
        <f t="shared" si="87"/>
        <v/>
      </c>
      <c r="J499" s="18" t="str">
        <f t="shared" si="82"/>
        <v/>
      </c>
      <c r="K499" s="18" t="str">
        <f t="shared" si="83"/>
        <v/>
      </c>
      <c r="L499" s="18" t="str">
        <f t="shared" si="84"/>
        <v/>
      </c>
      <c r="M499" s="19" t="str">
        <f t="shared" si="85"/>
        <v/>
      </c>
    </row>
    <row r="500" spans="1:13" x14ac:dyDescent="0.25">
      <c r="A500" s="3" t="str">
        <f>IF(B500&lt;&gt;"",490,"")</f>
        <v/>
      </c>
      <c r="B500" s="18" t="str">
        <f t="shared" si="86"/>
        <v/>
      </c>
      <c r="C500" s="18" t="str">
        <f t="shared" si="78"/>
        <v/>
      </c>
      <c r="D500" s="18" t="str">
        <f t="shared" si="79"/>
        <v/>
      </c>
      <c r="E500" s="18" t="str">
        <f t="shared" si="80"/>
        <v/>
      </c>
      <c r="F500" s="19" t="str">
        <f t="shared" si="81"/>
        <v/>
      </c>
      <c r="H500" s="3" t="str">
        <f t="shared" ref="H500:H563" si="88">A500</f>
        <v/>
      </c>
      <c r="I500" s="18" t="str">
        <f t="shared" si="87"/>
        <v/>
      </c>
      <c r="J500" s="18" t="str">
        <f t="shared" si="82"/>
        <v/>
      </c>
      <c r="K500" s="18" t="str">
        <f t="shared" si="83"/>
        <v/>
      </c>
      <c r="L500" s="18" t="str">
        <f t="shared" si="84"/>
        <v/>
      </c>
      <c r="M500" s="19" t="str">
        <f t="shared" si="85"/>
        <v/>
      </c>
    </row>
    <row r="501" spans="1:13" x14ac:dyDescent="0.25">
      <c r="A501" s="3" t="str">
        <f>IF(B501&lt;&gt;"",491,"")</f>
        <v/>
      </c>
      <c r="B501" s="18" t="str">
        <f t="shared" si="86"/>
        <v/>
      </c>
      <c r="C501" s="18" t="str">
        <f t="shared" si="78"/>
        <v/>
      </c>
      <c r="D501" s="18" t="str">
        <f t="shared" si="79"/>
        <v/>
      </c>
      <c r="E501" s="18" t="str">
        <f t="shared" si="80"/>
        <v/>
      </c>
      <c r="F501" s="19" t="str">
        <f t="shared" si="81"/>
        <v/>
      </c>
      <c r="H501" s="3" t="str">
        <f t="shared" si="88"/>
        <v/>
      </c>
      <c r="I501" s="18" t="str">
        <f t="shared" si="87"/>
        <v/>
      </c>
      <c r="J501" s="18" t="str">
        <f t="shared" si="82"/>
        <v/>
      </c>
      <c r="K501" s="18" t="str">
        <f t="shared" si="83"/>
        <v/>
      </c>
      <c r="L501" s="18" t="str">
        <f t="shared" si="84"/>
        <v/>
      </c>
      <c r="M501" s="19" t="str">
        <f t="shared" si="85"/>
        <v/>
      </c>
    </row>
    <row r="502" spans="1:13" x14ac:dyDescent="0.25">
      <c r="A502" s="3" t="str">
        <f>IF(B502&lt;&gt;"",492,"")</f>
        <v/>
      </c>
      <c r="B502" s="18" t="str">
        <f t="shared" si="86"/>
        <v/>
      </c>
      <c r="C502" s="18" t="str">
        <f t="shared" si="78"/>
        <v/>
      </c>
      <c r="D502" s="18" t="str">
        <f t="shared" si="79"/>
        <v/>
      </c>
      <c r="E502" s="18" t="str">
        <f t="shared" si="80"/>
        <v/>
      </c>
      <c r="F502" s="19" t="str">
        <f t="shared" si="81"/>
        <v/>
      </c>
      <c r="H502" s="3" t="str">
        <f t="shared" si="88"/>
        <v/>
      </c>
      <c r="I502" s="18" t="str">
        <f t="shared" si="87"/>
        <v/>
      </c>
      <c r="J502" s="18" t="str">
        <f t="shared" si="82"/>
        <v/>
      </c>
      <c r="K502" s="18" t="str">
        <f t="shared" si="83"/>
        <v/>
      </c>
      <c r="L502" s="18" t="str">
        <f t="shared" si="84"/>
        <v/>
      </c>
      <c r="M502" s="19" t="str">
        <f t="shared" si="85"/>
        <v/>
      </c>
    </row>
    <row r="503" spans="1:13" x14ac:dyDescent="0.25">
      <c r="A503" s="3" t="str">
        <f>IF(B503&lt;&gt;"",493,"")</f>
        <v/>
      </c>
      <c r="B503" s="18" t="str">
        <f t="shared" si="86"/>
        <v/>
      </c>
      <c r="C503" s="18" t="str">
        <f t="shared" si="78"/>
        <v/>
      </c>
      <c r="D503" s="18" t="str">
        <f t="shared" si="79"/>
        <v/>
      </c>
      <c r="E503" s="18" t="str">
        <f t="shared" si="80"/>
        <v/>
      </c>
      <c r="F503" s="19" t="str">
        <f t="shared" si="81"/>
        <v/>
      </c>
      <c r="H503" s="3" t="str">
        <f t="shared" si="88"/>
        <v/>
      </c>
      <c r="I503" s="18" t="str">
        <f t="shared" si="87"/>
        <v/>
      </c>
      <c r="J503" s="18" t="str">
        <f t="shared" si="82"/>
        <v/>
      </c>
      <c r="K503" s="18" t="str">
        <f t="shared" si="83"/>
        <v/>
      </c>
      <c r="L503" s="18" t="str">
        <f t="shared" si="84"/>
        <v/>
      </c>
      <c r="M503" s="19" t="str">
        <f t="shared" si="85"/>
        <v/>
      </c>
    </row>
    <row r="504" spans="1:13" x14ac:dyDescent="0.25">
      <c r="A504" s="3" t="str">
        <f>IF(B504&lt;&gt;"",494,"")</f>
        <v/>
      </c>
      <c r="B504" s="18" t="str">
        <f t="shared" si="86"/>
        <v/>
      </c>
      <c r="C504" s="18" t="str">
        <f t="shared" si="78"/>
        <v/>
      </c>
      <c r="D504" s="18" t="str">
        <f t="shared" si="79"/>
        <v/>
      </c>
      <c r="E504" s="18" t="str">
        <f t="shared" si="80"/>
        <v/>
      </c>
      <c r="F504" s="19" t="str">
        <f t="shared" si="81"/>
        <v/>
      </c>
      <c r="H504" s="3" t="str">
        <f t="shared" si="88"/>
        <v/>
      </c>
      <c r="I504" s="18" t="str">
        <f t="shared" si="87"/>
        <v/>
      </c>
      <c r="J504" s="18" t="str">
        <f t="shared" si="82"/>
        <v/>
      </c>
      <c r="K504" s="18" t="str">
        <f t="shared" si="83"/>
        <v/>
      </c>
      <c r="L504" s="18" t="str">
        <f t="shared" si="84"/>
        <v/>
      </c>
      <c r="M504" s="19" t="str">
        <f t="shared" si="85"/>
        <v/>
      </c>
    </row>
    <row r="505" spans="1:13" x14ac:dyDescent="0.25">
      <c r="A505" s="3" t="str">
        <f>IF(B505&lt;&gt;"",495,"")</f>
        <v/>
      </c>
      <c r="B505" s="18" t="str">
        <f t="shared" si="86"/>
        <v/>
      </c>
      <c r="C505" s="18" t="str">
        <f t="shared" si="78"/>
        <v/>
      </c>
      <c r="D505" s="18" t="str">
        <f t="shared" si="79"/>
        <v/>
      </c>
      <c r="E505" s="18" t="str">
        <f t="shared" si="80"/>
        <v/>
      </c>
      <c r="F505" s="19" t="str">
        <f t="shared" si="81"/>
        <v/>
      </c>
      <c r="H505" s="3" t="str">
        <f t="shared" si="88"/>
        <v/>
      </c>
      <c r="I505" s="18" t="str">
        <f t="shared" si="87"/>
        <v/>
      </c>
      <c r="J505" s="18" t="str">
        <f t="shared" si="82"/>
        <v/>
      </c>
      <c r="K505" s="18" t="str">
        <f t="shared" si="83"/>
        <v/>
      </c>
      <c r="L505" s="18" t="str">
        <f t="shared" si="84"/>
        <v/>
      </c>
      <c r="M505" s="19" t="str">
        <f t="shared" si="85"/>
        <v/>
      </c>
    </row>
    <row r="506" spans="1:13" x14ac:dyDescent="0.25">
      <c r="A506" s="3" t="str">
        <f>IF(B506&lt;&gt;"",496,"")</f>
        <v/>
      </c>
      <c r="B506" s="18" t="str">
        <f t="shared" si="86"/>
        <v/>
      </c>
      <c r="C506" s="18" t="str">
        <f t="shared" si="78"/>
        <v/>
      </c>
      <c r="D506" s="18" t="str">
        <f t="shared" si="79"/>
        <v/>
      </c>
      <c r="E506" s="18" t="str">
        <f t="shared" si="80"/>
        <v/>
      </c>
      <c r="F506" s="19" t="str">
        <f t="shared" si="81"/>
        <v/>
      </c>
      <c r="H506" s="3" t="str">
        <f t="shared" si="88"/>
        <v/>
      </c>
      <c r="I506" s="18" t="str">
        <f t="shared" si="87"/>
        <v/>
      </c>
      <c r="J506" s="18" t="str">
        <f t="shared" si="82"/>
        <v/>
      </c>
      <c r="K506" s="18" t="str">
        <f t="shared" si="83"/>
        <v/>
      </c>
      <c r="L506" s="18" t="str">
        <f t="shared" si="84"/>
        <v/>
      </c>
      <c r="M506" s="19" t="str">
        <f t="shared" si="85"/>
        <v/>
      </c>
    </row>
    <row r="507" spans="1:13" x14ac:dyDescent="0.25">
      <c r="A507" s="3" t="str">
        <f>IF(B507&lt;&gt;"",497,"")</f>
        <v/>
      </c>
      <c r="B507" s="18" t="str">
        <f t="shared" si="86"/>
        <v/>
      </c>
      <c r="C507" s="18" t="str">
        <f t="shared" si="78"/>
        <v/>
      </c>
      <c r="D507" s="18" t="str">
        <f t="shared" si="79"/>
        <v/>
      </c>
      <c r="E507" s="18" t="str">
        <f t="shared" si="80"/>
        <v/>
      </c>
      <c r="F507" s="19" t="str">
        <f t="shared" si="81"/>
        <v/>
      </c>
      <c r="H507" s="3" t="str">
        <f t="shared" si="88"/>
        <v/>
      </c>
      <c r="I507" s="18" t="str">
        <f t="shared" si="87"/>
        <v/>
      </c>
      <c r="J507" s="18" t="str">
        <f t="shared" si="82"/>
        <v/>
      </c>
      <c r="K507" s="18" t="str">
        <f t="shared" si="83"/>
        <v/>
      </c>
      <c r="L507" s="18" t="str">
        <f t="shared" si="84"/>
        <v/>
      </c>
      <c r="M507" s="19" t="str">
        <f t="shared" si="85"/>
        <v/>
      </c>
    </row>
    <row r="508" spans="1:13" x14ac:dyDescent="0.25">
      <c r="A508" s="3" t="str">
        <f>IF(B508&lt;&gt;"",498,"")</f>
        <v/>
      </c>
      <c r="B508" s="18" t="str">
        <f t="shared" si="86"/>
        <v/>
      </c>
      <c r="C508" s="18" t="str">
        <f t="shared" si="78"/>
        <v/>
      </c>
      <c r="D508" s="18" t="str">
        <f t="shared" si="79"/>
        <v/>
      </c>
      <c r="E508" s="18" t="str">
        <f t="shared" si="80"/>
        <v/>
      </c>
      <c r="F508" s="19" t="str">
        <f t="shared" si="81"/>
        <v/>
      </c>
      <c r="H508" s="3" t="str">
        <f t="shared" si="88"/>
        <v/>
      </c>
      <c r="I508" s="18" t="str">
        <f t="shared" si="87"/>
        <v/>
      </c>
      <c r="J508" s="18" t="str">
        <f t="shared" si="82"/>
        <v/>
      </c>
      <c r="K508" s="18" t="str">
        <f t="shared" si="83"/>
        <v/>
      </c>
      <c r="L508" s="18" t="str">
        <f t="shared" si="84"/>
        <v/>
      </c>
      <c r="M508" s="19" t="str">
        <f t="shared" si="85"/>
        <v/>
      </c>
    </row>
    <row r="509" spans="1:13" x14ac:dyDescent="0.25">
      <c r="A509" s="3" t="str">
        <f>IF(B509&lt;&gt;"",499,"")</f>
        <v/>
      </c>
      <c r="B509" s="18" t="str">
        <f t="shared" si="86"/>
        <v/>
      </c>
      <c r="C509" s="18" t="str">
        <f t="shared" si="78"/>
        <v/>
      </c>
      <c r="D509" s="18" t="str">
        <f t="shared" si="79"/>
        <v/>
      </c>
      <c r="E509" s="18" t="str">
        <f t="shared" si="80"/>
        <v/>
      </c>
      <c r="F509" s="19" t="str">
        <f t="shared" si="81"/>
        <v/>
      </c>
      <c r="H509" s="3" t="str">
        <f t="shared" si="88"/>
        <v/>
      </c>
      <c r="I509" s="18" t="str">
        <f t="shared" si="87"/>
        <v/>
      </c>
      <c r="J509" s="18" t="str">
        <f t="shared" si="82"/>
        <v/>
      </c>
      <c r="K509" s="18" t="str">
        <f t="shared" si="83"/>
        <v/>
      </c>
      <c r="L509" s="18" t="str">
        <f t="shared" si="84"/>
        <v/>
      </c>
      <c r="M509" s="19" t="str">
        <f t="shared" si="85"/>
        <v/>
      </c>
    </row>
    <row r="510" spans="1:13" x14ac:dyDescent="0.25">
      <c r="A510" s="3" t="str">
        <f>IF(B510&lt;&gt;"",500,"")</f>
        <v/>
      </c>
      <c r="B510" s="18" t="str">
        <f t="shared" si="86"/>
        <v/>
      </c>
      <c r="C510" s="18" t="str">
        <f t="shared" si="78"/>
        <v/>
      </c>
      <c r="D510" s="18" t="str">
        <f t="shared" si="79"/>
        <v/>
      </c>
      <c r="E510" s="18" t="str">
        <f t="shared" si="80"/>
        <v/>
      </c>
      <c r="F510" s="19" t="str">
        <f t="shared" si="81"/>
        <v/>
      </c>
      <c r="H510" s="3" t="str">
        <f t="shared" si="88"/>
        <v/>
      </c>
      <c r="I510" s="18" t="str">
        <f t="shared" si="87"/>
        <v/>
      </c>
      <c r="J510" s="18" t="str">
        <f t="shared" si="82"/>
        <v/>
      </c>
      <c r="K510" s="18" t="str">
        <f t="shared" si="83"/>
        <v/>
      </c>
      <c r="L510" s="18" t="str">
        <f t="shared" si="84"/>
        <v/>
      </c>
      <c r="M510" s="19" t="str">
        <f t="shared" si="85"/>
        <v/>
      </c>
    </row>
    <row r="511" spans="1:13" x14ac:dyDescent="0.25">
      <c r="A511" s="3" t="str">
        <f>IF(B511&lt;&gt;"",501,"")</f>
        <v/>
      </c>
      <c r="B511" s="18" t="str">
        <f t="shared" si="86"/>
        <v/>
      </c>
      <c r="C511" s="18" t="str">
        <f t="shared" si="78"/>
        <v/>
      </c>
      <c r="D511" s="18" t="str">
        <f t="shared" si="79"/>
        <v/>
      </c>
      <c r="E511" s="18" t="str">
        <f t="shared" si="80"/>
        <v/>
      </c>
      <c r="F511" s="19" t="str">
        <f t="shared" si="81"/>
        <v/>
      </c>
      <c r="H511" s="3" t="str">
        <f t="shared" si="88"/>
        <v/>
      </c>
      <c r="I511" s="18" t="str">
        <f t="shared" si="87"/>
        <v/>
      </c>
      <c r="J511" s="18" t="str">
        <f t="shared" si="82"/>
        <v/>
      </c>
      <c r="K511" s="18" t="str">
        <f t="shared" si="83"/>
        <v/>
      </c>
      <c r="L511" s="18" t="str">
        <f t="shared" si="84"/>
        <v/>
      </c>
      <c r="M511" s="19" t="str">
        <f t="shared" si="85"/>
        <v/>
      </c>
    </row>
    <row r="512" spans="1:13" x14ac:dyDescent="0.25">
      <c r="A512" s="3" t="str">
        <f>IF(B512&lt;&gt;"",502,"")</f>
        <v/>
      </c>
      <c r="B512" s="18" t="str">
        <f t="shared" si="86"/>
        <v/>
      </c>
      <c r="C512" s="18" t="str">
        <f t="shared" si="78"/>
        <v/>
      </c>
      <c r="D512" s="18" t="str">
        <f t="shared" si="79"/>
        <v/>
      </c>
      <c r="E512" s="18" t="str">
        <f t="shared" si="80"/>
        <v/>
      </c>
      <c r="F512" s="19" t="str">
        <f t="shared" si="81"/>
        <v/>
      </c>
      <c r="H512" s="3" t="str">
        <f t="shared" si="88"/>
        <v/>
      </c>
      <c r="I512" s="18" t="str">
        <f t="shared" si="87"/>
        <v/>
      </c>
      <c r="J512" s="18" t="str">
        <f t="shared" si="82"/>
        <v/>
      </c>
      <c r="K512" s="18" t="str">
        <f t="shared" si="83"/>
        <v/>
      </c>
      <c r="L512" s="18" t="str">
        <f t="shared" si="84"/>
        <v/>
      </c>
      <c r="M512" s="19" t="str">
        <f t="shared" si="85"/>
        <v/>
      </c>
    </row>
    <row r="513" spans="1:13" x14ac:dyDescent="0.25">
      <c r="A513" s="3" t="str">
        <f>IF(B513&lt;&gt;"",503,"")</f>
        <v/>
      </c>
      <c r="B513" s="18" t="str">
        <f t="shared" si="86"/>
        <v/>
      </c>
      <c r="C513" s="18" t="str">
        <f t="shared" si="78"/>
        <v/>
      </c>
      <c r="D513" s="18" t="str">
        <f t="shared" si="79"/>
        <v/>
      </c>
      <c r="E513" s="18" t="str">
        <f t="shared" si="80"/>
        <v/>
      </c>
      <c r="F513" s="19" t="str">
        <f t="shared" si="81"/>
        <v/>
      </c>
      <c r="H513" s="3" t="str">
        <f t="shared" si="88"/>
        <v/>
      </c>
      <c r="I513" s="18" t="str">
        <f t="shared" si="87"/>
        <v/>
      </c>
      <c r="J513" s="18" t="str">
        <f t="shared" si="82"/>
        <v/>
      </c>
      <c r="K513" s="18" t="str">
        <f t="shared" si="83"/>
        <v/>
      </c>
      <c r="L513" s="18" t="str">
        <f t="shared" si="84"/>
        <v/>
      </c>
      <c r="M513" s="19" t="str">
        <f t="shared" si="85"/>
        <v/>
      </c>
    </row>
    <row r="514" spans="1:13" x14ac:dyDescent="0.25">
      <c r="A514" s="3" t="str">
        <f>IF(B514&lt;&gt;"",504,"")</f>
        <v/>
      </c>
      <c r="B514" s="18" t="str">
        <f t="shared" si="86"/>
        <v/>
      </c>
      <c r="C514" s="18" t="str">
        <f t="shared" si="78"/>
        <v/>
      </c>
      <c r="D514" s="18" t="str">
        <f t="shared" si="79"/>
        <v/>
      </c>
      <c r="E514" s="18" t="str">
        <f t="shared" si="80"/>
        <v/>
      </c>
      <c r="F514" s="19" t="str">
        <f t="shared" si="81"/>
        <v/>
      </c>
      <c r="H514" s="3" t="str">
        <f t="shared" si="88"/>
        <v/>
      </c>
      <c r="I514" s="18" t="str">
        <f t="shared" si="87"/>
        <v/>
      </c>
      <c r="J514" s="18" t="str">
        <f t="shared" si="82"/>
        <v/>
      </c>
      <c r="K514" s="18" t="str">
        <f t="shared" si="83"/>
        <v/>
      </c>
      <c r="L514" s="18" t="str">
        <f t="shared" si="84"/>
        <v/>
      </c>
      <c r="M514" s="19" t="str">
        <f t="shared" si="85"/>
        <v/>
      </c>
    </row>
    <row r="515" spans="1:13" x14ac:dyDescent="0.25">
      <c r="A515" s="3" t="str">
        <f>IF(B515&lt;&gt;"",505,"")</f>
        <v/>
      </c>
      <c r="B515" s="18" t="str">
        <f t="shared" si="86"/>
        <v/>
      </c>
      <c r="C515" s="18" t="str">
        <f t="shared" si="78"/>
        <v/>
      </c>
      <c r="D515" s="18" t="str">
        <f t="shared" si="79"/>
        <v/>
      </c>
      <c r="E515" s="18" t="str">
        <f t="shared" si="80"/>
        <v/>
      </c>
      <c r="F515" s="19" t="str">
        <f t="shared" si="81"/>
        <v/>
      </c>
      <c r="H515" s="3" t="str">
        <f t="shared" si="88"/>
        <v/>
      </c>
      <c r="I515" s="18" t="str">
        <f t="shared" si="87"/>
        <v/>
      </c>
      <c r="J515" s="18" t="str">
        <f t="shared" si="82"/>
        <v/>
      </c>
      <c r="K515" s="18" t="str">
        <f t="shared" si="83"/>
        <v/>
      </c>
      <c r="L515" s="18" t="str">
        <f t="shared" si="84"/>
        <v/>
      </c>
      <c r="M515" s="19" t="str">
        <f t="shared" si="85"/>
        <v/>
      </c>
    </row>
    <row r="516" spans="1:13" x14ac:dyDescent="0.25">
      <c r="A516" s="3" t="str">
        <f>IF(B516&lt;&gt;"",506,"")</f>
        <v/>
      </c>
      <c r="B516" s="18" t="str">
        <f t="shared" si="86"/>
        <v/>
      </c>
      <c r="C516" s="18" t="str">
        <f t="shared" si="78"/>
        <v/>
      </c>
      <c r="D516" s="18" t="str">
        <f t="shared" si="79"/>
        <v/>
      </c>
      <c r="E516" s="18" t="str">
        <f t="shared" si="80"/>
        <v/>
      </c>
      <c r="F516" s="19" t="str">
        <f t="shared" si="81"/>
        <v/>
      </c>
      <c r="H516" s="3" t="str">
        <f t="shared" si="88"/>
        <v/>
      </c>
      <c r="I516" s="18" t="str">
        <f t="shared" si="87"/>
        <v/>
      </c>
      <c r="J516" s="18" t="str">
        <f t="shared" si="82"/>
        <v/>
      </c>
      <c r="K516" s="18" t="str">
        <f t="shared" si="83"/>
        <v/>
      </c>
      <c r="L516" s="18" t="str">
        <f t="shared" si="84"/>
        <v/>
      </c>
      <c r="M516" s="19" t="str">
        <f t="shared" si="85"/>
        <v/>
      </c>
    </row>
    <row r="517" spans="1:13" x14ac:dyDescent="0.25">
      <c r="A517" s="3" t="str">
        <f>IF(B517&lt;&gt;"",507,"")</f>
        <v/>
      </c>
      <c r="B517" s="18" t="str">
        <f t="shared" si="86"/>
        <v/>
      </c>
      <c r="C517" s="18" t="str">
        <f t="shared" si="78"/>
        <v/>
      </c>
      <c r="D517" s="18" t="str">
        <f t="shared" si="79"/>
        <v/>
      </c>
      <c r="E517" s="18" t="str">
        <f t="shared" si="80"/>
        <v/>
      </c>
      <c r="F517" s="19" t="str">
        <f t="shared" si="81"/>
        <v/>
      </c>
      <c r="H517" s="3" t="str">
        <f t="shared" si="88"/>
        <v/>
      </c>
      <c r="I517" s="18" t="str">
        <f t="shared" si="87"/>
        <v/>
      </c>
      <c r="J517" s="18" t="str">
        <f t="shared" si="82"/>
        <v/>
      </c>
      <c r="K517" s="18" t="str">
        <f t="shared" si="83"/>
        <v/>
      </c>
      <c r="L517" s="18" t="str">
        <f t="shared" si="84"/>
        <v/>
      </c>
      <c r="M517" s="19" t="str">
        <f t="shared" si="85"/>
        <v/>
      </c>
    </row>
    <row r="518" spans="1:13" x14ac:dyDescent="0.25">
      <c r="A518" s="3" t="str">
        <f>IF(B518&lt;&gt;"",508,"")</f>
        <v/>
      </c>
      <c r="B518" s="18" t="str">
        <f t="shared" si="86"/>
        <v/>
      </c>
      <c r="C518" s="18" t="str">
        <f t="shared" si="78"/>
        <v/>
      </c>
      <c r="D518" s="18" t="str">
        <f t="shared" si="79"/>
        <v/>
      </c>
      <c r="E518" s="18" t="str">
        <f t="shared" si="80"/>
        <v/>
      </c>
      <c r="F518" s="19" t="str">
        <f t="shared" si="81"/>
        <v/>
      </c>
      <c r="H518" s="3" t="str">
        <f t="shared" si="88"/>
        <v/>
      </c>
      <c r="I518" s="18" t="str">
        <f t="shared" si="87"/>
        <v/>
      </c>
      <c r="J518" s="18" t="str">
        <f t="shared" si="82"/>
        <v/>
      </c>
      <c r="K518" s="18" t="str">
        <f t="shared" si="83"/>
        <v/>
      </c>
      <c r="L518" s="18" t="str">
        <f t="shared" si="84"/>
        <v/>
      </c>
      <c r="M518" s="19" t="str">
        <f t="shared" si="85"/>
        <v/>
      </c>
    </row>
    <row r="519" spans="1:13" x14ac:dyDescent="0.25">
      <c r="A519" s="3" t="str">
        <f>IF(B519&lt;&gt;"",509,"")</f>
        <v/>
      </c>
      <c r="B519" s="18" t="str">
        <f t="shared" si="86"/>
        <v/>
      </c>
      <c r="C519" s="18" t="str">
        <f t="shared" si="78"/>
        <v/>
      </c>
      <c r="D519" s="18" t="str">
        <f t="shared" si="79"/>
        <v/>
      </c>
      <c r="E519" s="18" t="str">
        <f t="shared" si="80"/>
        <v/>
      </c>
      <c r="F519" s="19" t="str">
        <f t="shared" si="81"/>
        <v/>
      </c>
      <c r="H519" s="3" t="str">
        <f t="shared" si="88"/>
        <v/>
      </c>
      <c r="I519" s="18" t="str">
        <f t="shared" si="87"/>
        <v/>
      </c>
      <c r="J519" s="18" t="str">
        <f t="shared" si="82"/>
        <v/>
      </c>
      <c r="K519" s="18" t="str">
        <f t="shared" si="83"/>
        <v/>
      </c>
      <c r="L519" s="18" t="str">
        <f t="shared" si="84"/>
        <v/>
      </c>
      <c r="M519" s="19" t="str">
        <f t="shared" si="85"/>
        <v/>
      </c>
    </row>
    <row r="520" spans="1:13" x14ac:dyDescent="0.25">
      <c r="A520" s="3" t="str">
        <f>IF(B520&lt;&gt;"",510,"")</f>
        <v/>
      </c>
      <c r="B520" s="18" t="str">
        <f t="shared" si="86"/>
        <v/>
      </c>
      <c r="C520" s="18" t="str">
        <f t="shared" si="78"/>
        <v/>
      </c>
      <c r="D520" s="18" t="str">
        <f t="shared" si="79"/>
        <v/>
      </c>
      <c r="E520" s="18" t="str">
        <f t="shared" si="80"/>
        <v/>
      </c>
      <c r="F520" s="19" t="str">
        <f t="shared" si="81"/>
        <v/>
      </c>
      <c r="H520" s="3" t="str">
        <f t="shared" si="88"/>
        <v/>
      </c>
      <c r="I520" s="18" t="str">
        <f t="shared" si="87"/>
        <v/>
      </c>
      <c r="J520" s="18" t="str">
        <f t="shared" si="82"/>
        <v/>
      </c>
      <c r="K520" s="18" t="str">
        <f t="shared" si="83"/>
        <v/>
      </c>
      <c r="L520" s="18" t="str">
        <f t="shared" si="84"/>
        <v/>
      </c>
      <c r="M520" s="19" t="str">
        <f t="shared" si="85"/>
        <v/>
      </c>
    </row>
    <row r="521" spans="1:13" x14ac:dyDescent="0.25">
      <c r="A521" s="3" t="str">
        <f>IF(B521&lt;&gt;"",511,"")</f>
        <v/>
      </c>
      <c r="B521" s="18" t="str">
        <f t="shared" si="86"/>
        <v/>
      </c>
      <c r="C521" s="18" t="str">
        <f t="shared" si="78"/>
        <v/>
      </c>
      <c r="D521" s="18" t="str">
        <f t="shared" si="79"/>
        <v/>
      </c>
      <c r="E521" s="18" t="str">
        <f t="shared" si="80"/>
        <v/>
      </c>
      <c r="F521" s="19" t="str">
        <f t="shared" si="81"/>
        <v/>
      </c>
      <c r="H521" s="3" t="str">
        <f t="shared" si="88"/>
        <v/>
      </c>
      <c r="I521" s="18" t="str">
        <f t="shared" si="87"/>
        <v/>
      </c>
      <c r="J521" s="18" t="str">
        <f t="shared" si="82"/>
        <v/>
      </c>
      <c r="K521" s="18" t="str">
        <f t="shared" si="83"/>
        <v/>
      </c>
      <c r="L521" s="18" t="str">
        <f t="shared" si="84"/>
        <v/>
      </c>
      <c r="M521" s="19" t="str">
        <f t="shared" si="85"/>
        <v/>
      </c>
    </row>
    <row r="522" spans="1:13" x14ac:dyDescent="0.25">
      <c r="A522" s="3" t="str">
        <f>IF(B522&lt;&gt;"",512,"")</f>
        <v/>
      </c>
      <c r="B522" s="18" t="str">
        <f t="shared" si="86"/>
        <v/>
      </c>
      <c r="C522" s="18" t="str">
        <f t="shared" si="78"/>
        <v/>
      </c>
      <c r="D522" s="18" t="str">
        <f t="shared" si="79"/>
        <v/>
      </c>
      <c r="E522" s="18" t="str">
        <f t="shared" si="80"/>
        <v/>
      </c>
      <c r="F522" s="19" t="str">
        <f t="shared" si="81"/>
        <v/>
      </c>
      <c r="H522" s="3" t="str">
        <f t="shared" si="88"/>
        <v/>
      </c>
      <c r="I522" s="18" t="str">
        <f t="shared" si="87"/>
        <v/>
      </c>
      <c r="J522" s="18" t="str">
        <f t="shared" si="82"/>
        <v/>
      </c>
      <c r="K522" s="18" t="str">
        <f t="shared" si="83"/>
        <v/>
      </c>
      <c r="L522" s="18" t="str">
        <f t="shared" si="84"/>
        <v/>
      </c>
      <c r="M522" s="19" t="str">
        <f t="shared" si="85"/>
        <v/>
      </c>
    </row>
    <row r="523" spans="1:13" x14ac:dyDescent="0.25">
      <c r="A523" s="3" t="str">
        <f>IF(B523&lt;&gt;"",513,"")</f>
        <v/>
      </c>
      <c r="B523" s="18" t="str">
        <f t="shared" si="86"/>
        <v/>
      </c>
      <c r="C523" s="18" t="str">
        <f t="shared" si="78"/>
        <v/>
      </c>
      <c r="D523" s="18" t="str">
        <f t="shared" si="79"/>
        <v/>
      </c>
      <c r="E523" s="18" t="str">
        <f t="shared" si="80"/>
        <v/>
      </c>
      <c r="F523" s="19" t="str">
        <f t="shared" si="81"/>
        <v/>
      </c>
      <c r="H523" s="3" t="str">
        <f t="shared" si="88"/>
        <v/>
      </c>
      <c r="I523" s="18" t="str">
        <f t="shared" si="87"/>
        <v/>
      </c>
      <c r="J523" s="18" t="str">
        <f t="shared" si="82"/>
        <v/>
      </c>
      <c r="K523" s="18" t="str">
        <f t="shared" si="83"/>
        <v/>
      </c>
      <c r="L523" s="18" t="str">
        <f t="shared" si="84"/>
        <v/>
      </c>
      <c r="M523" s="19" t="str">
        <f t="shared" si="85"/>
        <v/>
      </c>
    </row>
    <row r="524" spans="1:13" x14ac:dyDescent="0.25">
      <c r="A524" s="3" t="str">
        <f>IF(B524&lt;&gt;"",514,"")</f>
        <v/>
      </c>
      <c r="B524" s="18" t="str">
        <f t="shared" si="86"/>
        <v/>
      </c>
      <c r="C524" s="18" t="str">
        <f t="shared" ref="C524:C587" si="89">IFERROR(B524*$G$4/12,"")</f>
        <v/>
      </c>
      <c r="D524" s="18" t="str">
        <f t="shared" ref="D524:D587" si="90">IF(A524&lt;&gt;"",$G$3/$G$5,"")</f>
        <v/>
      </c>
      <c r="E524" s="18" t="str">
        <f t="shared" ref="E524:E587" si="91">IF(A524&lt;&gt;"",B524-D524,"")</f>
        <v/>
      </c>
      <c r="F524" s="19" t="str">
        <f t="shared" ref="F524:F587" si="92">IF(A524&lt;&gt;"",C524+D524,"")</f>
        <v/>
      </c>
      <c r="H524" s="3" t="str">
        <f t="shared" si="88"/>
        <v/>
      </c>
      <c r="I524" s="18" t="str">
        <f t="shared" si="87"/>
        <v/>
      </c>
      <c r="J524" s="18" t="str">
        <f t="shared" ref="J524:J587" si="93">IFERROR(I524*$G$4/12,"")</f>
        <v/>
      </c>
      <c r="K524" s="18" t="str">
        <f t="shared" ref="K524:K587" si="94">IFERROR(M524-J524,"")</f>
        <v/>
      </c>
      <c r="L524" s="18" t="str">
        <f t="shared" ref="L524:L587" si="95">IFERROR(I524-K524,"")</f>
        <v/>
      </c>
      <c r="M524" s="19" t="str">
        <f t="shared" ref="M524:M587" si="96">IF(H524&lt;&gt;"",-PMT($G$4/12,$G$5,$G$3),"")</f>
        <v/>
      </c>
    </row>
    <row r="525" spans="1:13" x14ac:dyDescent="0.25">
      <c r="A525" s="3" t="str">
        <f>IF(B525&lt;&gt;"",515,"")</f>
        <v/>
      </c>
      <c r="B525" s="18" t="str">
        <f t="shared" ref="B525:B588" si="97">IFERROR(IF(B524-D524&gt;=0.01,B524-D524,""),"")</f>
        <v/>
      </c>
      <c r="C525" s="18" t="str">
        <f t="shared" si="89"/>
        <v/>
      </c>
      <c r="D525" s="18" t="str">
        <f t="shared" si="90"/>
        <v/>
      </c>
      <c r="E525" s="18" t="str">
        <f t="shared" si="91"/>
        <v/>
      </c>
      <c r="F525" s="19" t="str">
        <f t="shared" si="92"/>
        <v/>
      </c>
      <c r="H525" s="3" t="str">
        <f t="shared" si="88"/>
        <v/>
      </c>
      <c r="I525" s="18" t="str">
        <f t="shared" ref="I525:I588" si="98">IFERROR(IF(I524-K524&gt;=0.01,I524-K524,""),"")</f>
        <v/>
      </c>
      <c r="J525" s="18" t="str">
        <f t="shared" si="93"/>
        <v/>
      </c>
      <c r="K525" s="18" t="str">
        <f t="shared" si="94"/>
        <v/>
      </c>
      <c r="L525" s="18" t="str">
        <f t="shared" si="95"/>
        <v/>
      </c>
      <c r="M525" s="19" t="str">
        <f t="shared" si="96"/>
        <v/>
      </c>
    </row>
    <row r="526" spans="1:13" x14ac:dyDescent="0.25">
      <c r="A526" s="3" t="str">
        <f>IF(B526&lt;&gt;"",516,"")</f>
        <v/>
      </c>
      <c r="B526" s="18" t="str">
        <f t="shared" si="97"/>
        <v/>
      </c>
      <c r="C526" s="18" t="str">
        <f t="shared" si="89"/>
        <v/>
      </c>
      <c r="D526" s="18" t="str">
        <f t="shared" si="90"/>
        <v/>
      </c>
      <c r="E526" s="18" t="str">
        <f t="shared" si="91"/>
        <v/>
      </c>
      <c r="F526" s="19" t="str">
        <f t="shared" si="92"/>
        <v/>
      </c>
      <c r="H526" s="3" t="str">
        <f t="shared" si="88"/>
        <v/>
      </c>
      <c r="I526" s="18" t="str">
        <f t="shared" si="98"/>
        <v/>
      </c>
      <c r="J526" s="18" t="str">
        <f t="shared" si="93"/>
        <v/>
      </c>
      <c r="K526" s="18" t="str">
        <f t="shared" si="94"/>
        <v/>
      </c>
      <c r="L526" s="18" t="str">
        <f t="shared" si="95"/>
        <v/>
      </c>
      <c r="M526" s="19" t="str">
        <f t="shared" si="96"/>
        <v/>
      </c>
    </row>
    <row r="527" spans="1:13" x14ac:dyDescent="0.25">
      <c r="A527" s="3" t="str">
        <f>IF(B527&lt;&gt;"",517,"")</f>
        <v/>
      </c>
      <c r="B527" s="18" t="str">
        <f t="shared" si="97"/>
        <v/>
      </c>
      <c r="C527" s="18" t="str">
        <f t="shared" si="89"/>
        <v/>
      </c>
      <c r="D527" s="18" t="str">
        <f t="shared" si="90"/>
        <v/>
      </c>
      <c r="E527" s="18" t="str">
        <f t="shared" si="91"/>
        <v/>
      </c>
      <c r="F527" s="19" t="str">
        <f t="shared" si="92"/>
        <v/>
      </c>
      <c r="H527" s="3" t="str">
        <f t="shared" si="88"/>
        <v/>
      </c>
      <c r="I527" s="18" t="str">
        <f t="shared" si="98"/>
        <v/>
      </c>
      <c r="J527" s="18" t="str">
        <f t="shared" si="93"/>
        <v/>
      </c>
      <c r="K527" s="18" t="str">
        <f t="shared" si="94"/>
        <v/>
      </c>
      <c r="L527" s="18" t="str">
        <f t="shared" si="95"/>
        <v/>
      </c>
      <c r="M527" s="19" t="str">
        <f t="shared" si="96"/>
        <v/>
      </c>
    </row>
    <row r="528" spans="1:13" x14ac:dyDescent="0.25">
      <c r="A528" s="3" t="str">
        <f>IF(B528&lt;&gt;"",518,"")</f>
        <v/>
      </c>
      <c r="B528" s="18" t="str">
        <f t="shared" si="97"/>
        <v/>
      </c>
      <c r="C528" s="18" t="str">
        <f t="shared" si="89"/>
        <v/>
      </c>
      <c r="D528" s="18" t="str">
        <f t="shared" si="90"/>
        <v/>
      </c>
      <c r="E528" s="18" t="str">
        <f t="shared" si="91"/>
        <v/>
      </c>
      <c r="F528" s="19" t="str">
        <f t="shared" si="92"/>
        <v/>
      </c>
      <c r="H528" s="3" t="str">
        <f t="shared" si="88"/>
        <v/>
      </c>
      <c r="I528" s="18" t="str">
        <f t="shared" si="98"/>
        <v/>
      </c>
      <c r="J528" s="18" t="str">
        <f t="shared" si="93"/>
        <v/>
      </c>
      <c r="K528" s="18" t="str">
        <f t="shared" si="94"/>
        <v/>
      </c>
      <c r="L528" s="18" t="str">
        <f t="shared" si="95"/>
        <v/>
      </c>
      <c r="M528" s="19" t="str">
        <f t="shared" si="96"/>
        <v/>
      </c>
    </row>
    <row r="529" spans="1:13" x14ac:dyDescent="0.25">
      <c r="A529" s="3" t="str">
        <f>IF(B529&lt;&gt;"",519,"")</f>
        <v/>
      </c>
      <c r="B529" s="18" t="str">
        <f t="shared" si="97"/>
        <v/>
      </c>
      <c r="C529" s="18" t="str">
        <f t="shared" si="89"/>
        <v/>
      </c>
      <c r="D529" s="18" t="str">
        <f t="shared" si="90"/>
        <v/>
      </c>
      <c r="E529" s="18" t="str">
        <f t="shared" si="91"/>
        <v/>
      </c>
      <c r="F529" s="19" t="str">
        <f t="shared" si="92"/>
        <v/>
      </c>
      <c r="H529" s="3" t="str">
        <f t="shared" si="88"/>
        <v/>
      </c>
      <c r="I529" s="18" t="str">
        <f t="shared" si="98"/>
        <v/>
      </c>
      <c r="J529" s="18" t="str">
        <f t="shared" si="93"/>
        <v/>
      </c>
      <c r="K529" s="18" t="str">
        <f t="shared" si="94"/>
        <v/>
      </c>
      <c r="L529" s="18" t="str">
        <f t="shared" si="95"/>
        <v/>
      </c>
      <c r="M529" s="19" t="str">
        <f t="shared" si="96"/>
        <v/>
      </c>
    </row>
    <row r="530" spans="1:13" x14ac:dyDescent="0.25">
      <c r="A530" s="3" t="str">
        <f>IF(B530&lt;&gt;"",520,"")</f>
        <v/>
      </c>
      <c r="B530" s="18" t="str">
        <f t="shared" si="97"/>
        <v/>
      </c>
      <c r="C530" s="18" t="str">
        <f t="shared" si="89"/>
        <v/>
      </c>
      <c r="D530" s="18" t="str">
        <f t="shared" si="90"/>
        <v/>
      </c>
      <c r="E530" s="18" t="str">
        <f t="shared" si="91"/>
        <v/>
      </c>
      <c r="F530" s="19" t="str">
        <f t="shared" si="92"/>
        <v/>
      </c>
      <c r="H530" s="3" t="str">
        <f t="shared" si="88"/>
        <v/>
      </c>
      <c r="I530" s="18" t="str">
        <f t="shared" si="98"/>
        <v/>
      </c>
      <c r="J530" s="18" t="str">
        <f t="shared" si="93"/>
        <v/>
      </c>
      <c r="K530" s="18" t="str">
        <f t="shared" si="94"/>
        <v/>
      </c>
      <c r="L530" s="18" t="str">
        <f t="shared" si="95"/>
        <v/>
      </c>
      <c r="M530" s="19" t="str">
        <f t="shared" si="96"/>
        <v/>
      </c>
    </row>
    <row r="531" spans="1:13" x14ac:dyDescent="0.25">
      <c r="A531" s="3" t="str">
        <f>IF(B531&lt;&gt;"",521,"")</f>
        <v/>
      </c>
      <c r="B531" s="18" t="str">
        <f t="shared" si="97"/>
        <v/>
      </c>
      <c r="C531" s="18" t="str">
        <f t="shared" si="89"/>
        <v/>
      </c>
      <c r="D531" s="18" t="str">
        <f t="shared" si="90"/>
        <v/>
      </c>
      <c r="E531" s="18" t="str">
        <f t="shared" si="91"/>
        <v/>
      </c>
      <c r="F531" s="19" t="str">
        <f t="shared" si="92"/>
        <v/>
      </c>
      <c r="H531" s="3" t="str">
        <f t="shared" si="88"/>
        <v/>
      </c>
      <c r="I531" s="18" t="str">
        <f t="shared" si="98"/>
        <v/>
      </c>
      <c r="J531" s="18" t="str">
        <f t="shared" si="93"/>
        <v/>
      </c>
      <c r="K531" s="18" t="str">
        <f t="shared" si="94"/>
        <v/>
      </c>
      <c r="L531" s="18" t="str">
        <f t="shared" si="95"/>
        <v/>
      </c>
      <c r="M531" s="19" t="str">
        <f t="shared" si="96"/>
        <v/>
      </c>
    </row>
    <row r="532" spans="1:13" x14ac:dyDescent="0.25">
      <c r="A532" s="3" t="str">
        <f>IF(B532&lt;&gt;"",522,"")</f>
        <v/>
      </c>
      <c r="B532" s="18" t="str">
        <f t="shared" si="97"/>
        <v/>
      </c>
      <c r="C532" s="18" t="str">
        <f t="shared" si="89"/>
        <v/>
      </c>
      <c r="D532" s="18" t="str">
        <f t="shared" si="90"/>
        <v/>
      </c>
      <c r="E532" s="18" t="str">
        <f t="shared" si="91"/>
        <v/>
      </c>
      <c r="F532" s="19" t="str">
        <f t="shared" si="92"/>
        <v/>
      </c>
      <c r="H532" s="3" t="str">
        <f t="shared" si="88"/>
        <v/>
      </c>
      <c r="I532" s="18" t="str">
        <f t="shared" si="98"/>
        <v/>
      </c>
      <c r="J532" s="18" t="str">
        <f t="shared" si="93"/>
        <v/>
      </c>
      <c r="K532" s="18" t="str">
        <f t="shared" si="94"/>
        <v/>
      </c>
      <c r="L532" s="18" t="str">
        <f t="shared" si="95"/>
        <v/>
      </c>
      <c r="M532" s="19" t="str">
        <f t="shared" si="96"/>
        <v/>
      </c>
    </row>
    <row r="533" spans="1:13" x14ac:dyDescent="0.25">
      <c r="A533" s="3" t="str">
        <f>IF(B533&lt;&gt;"",523,"")</f>
        <v/>
      </c>
      <c r="B533" s="18" t="str">
        <f t="shared" si="97"/>
        <v/>
      </c>
      <c r="C533" s="18" t="str">
        <f t="shared" si="89"/>
        <v/>
      </c>
      <c r="D533" s="18" t="str">
        <f t="shared" si="90"/>
        <v/>
      </c>
      <c r="E533" s="18" t="str">
        <f t="shared" si="91"/>
        <v/>
      </c>
      <c r="F533" s="19" t="str">
        <f t="shared" si="92"/>
        <v/>
      </c>
      <c r="H533" s="3" t="str">
        <f t="shared" si="88"/>
        <v/>
      </c>
      <c r="I533" s="18" t="str">
        <f t="shared" si="98"/>
        <v/>
      </c>
      <c r="J533" s="18" t="str">
        <f t="shared" si="93"/>
        <v/>
      </c>
      <c r="K533" s="18" t="str">
        <f t="shared" si="94"/>
        <v/>
      </c>
      <c r="L533" s="18" t="str">
        <f t="shared" si="95"/>
        <v/>
      </c>
      <c r="M533" s="19" t="str">
        <f t="shared" si="96"/>
        <v/>
      </c>
    </row>
    <row r="534" spans="1:13" x14ac:dyDescent="0.25">
      <c r="A534" s="3" t="str">
        <f>IF(B534&lt;&gt;"",524,"")</f>
        <v/>
      </c>
      <c r="B534" s="18" t="str">
        <f t="shared" si="97"/>
        <v/>
      </c>
      <c r="C534" s="18" t="str">
        <f t="shared" si="89"/>
        <v/>
      </c>
      <c r="D534" s="18" t="str">
        <f t="shared" si="90"/>
        <v/>
      </c>
      <c r="E534" s="18" t="str">
        <f t="shared" si="91"/>
        <v/>
      </c>
      <c r="F534" s="19" t="str">
        <f t="shared" si="92"/>
        <v/>
      </c>
      <c r="H534" s="3" t="str">
        <f t="shared" si="88"/>
        <v/>
      </c>
      <c r="I534" s="18" t="str">
        <f t="shared" si="98"/>
        <v/>
      </c>
      <c r="J534" s="18" t="str">
        <f t="shared" si="93"/>
        <v/>
      </c>
      <c r="K534" s="18" t="str">
        <f t="shared" si="94"/>
        <v/>
      </c>
      <c r="L534" s="18" t="str">
        <f t="shared" si="95"/>
        <v/>
      </c>
      <c r="M534" s="19" t="str">
        <f t="shared" si="96"/>
        <v/>
      </c>
    </row>
    <row r="535" spans="1:13" x14ac:dyDescent="0.25">
      <c r="A535" s="3" t="str">
        <f>IF(B535&lt;&gt;"",525,"")</f>
        <v/>
      </c>
      <c r="B535" s="18" t="str">
        <f t="shared" si="97"/>
        <v/>
      </c>
      <c r="C535" s="18" t="str">
        <f t="shared" si="89"/>
        <v/>
      </c>
      <c r="D535" s="18" t="str">
        <f t="shared" si="90"/>
        <v/>
      </c>
      <c r="E535" s="18" t="str">
        <f t="shared" si="91"/>
        <v/>
      </c>
      <c r="F535" s="19" t="str">
        <f t="shared" si="92"/>
        <v/>
      </c>
      <c r="H535" s="3" t="str">
        <f t="shared" si="88"/>
        <v/>
      </c>
      <c r="I535" s="18" t="str">
        <f t="shared" si="98"/>
        <v/>
      </c>
      <c r="J535" s="18" t="str">
        <f t="shared" si="93"/>
        <v/>
      </c>
      <c r="K535" s="18" t="str">
        <f t="shared" si="94"/>
        <v/>
      </c>
      <c r="L535" s="18" t="str">
        <f t="shared" si="95"/>
        <v/>
      </c>
      <c r="M535" s="19" t="str">
        <f t="shared" si="96"/>
        <v/>
      </c>
    </row>
    <row r="536" spans="1:13" x14ac:dyDescent="0.25">
      <c r="A536" s="3" t="str">
        <f>IF(B536&lt;&gt;"",526,"")</f>
        <v/>
      </c>
      <c r="B536" s="18" t="str">
        <f t="shared" si="97"/>
        <v/>
      </c>
      <c r="C536" s="18" t="str">
        <f t="shared" si="89"/>
        <v/>
      </c>
      <c r="D536" s="18" t="str">
        <f t="shared" si="90"/>
        <v/>
      </c>
      <c r="E536" s="18" t="str">
        <f t="shared" si="91"/>
        <v/>
      </c>
      <c r="F536" s="19" t="str">
        <f t="shared" si="92"/>
        <v/>
      </c>
      <c r="H536" s="3" t="str">
        <f t="shared" si="88"/>
        <v/>
      </c>
      <c r="I536" s="18" t="str">
        <f t="shared" si="98"/>
        <v/>
      </c>
      <c r="J536" s="18" t="str">
        <f t="shared" si="93"/>
        <v/>
      </c>
      <c r="K536" s="18" t="str">
        <f t="shared" si="94"/>
        <v/>
      </c>
      <c r="L536" s="18" t="str">
        <f t="shared" si="95"/>
        <v/>
      </c>
      <c r="M536" s="19" t="str">
        <f t="shared" si="96"/>
        <v/>
      </c>
    </row>
    <row r="537" spans="1:13" x14ac:dyDescent="0.25">
      <c r="A537" s="3" t="str">
        <f>IF(B537&lt;&gt;"",527,"")</f>
        <v/>
      </c>
      <c r="B537" s="18" t="str">
        <f t="shared" si="97"/>
        <v/>
      </c>
      <c r="C537" s="18" t="str">
        <f t="shared" si="89"/>
        <v/>
      </c>
      <c r="D537" s="18" t="str">
        <f t="shared" si="90"/>
        <v/>
      </c>
      <c r="E537" s="18" t="str">
        <f t="shared" si="91"/>
        <v/>
      </c>
      <c r="F537" s="19" t="str">
        <f t="shared" si="92"/>
        <v/>
      </c>
      <c r="H537" s="3" t="str">
        <f t="shared" si="88"/>
        <v/>
      </c>
      <c r="I537" s="18" t="str">
        <f t="shared" si="98"/>
        <v/>
      </c>
      <c r="J537" s="18" t="str">
        <f t="shared" si="93"/>
        <v/>
      </c>
      <c r="K537" s="18" t="str">
        <f t="shared" si="94"/>
        <v/>
      </c>
      <c r="L537" s="18" t="str">
        <f t="shared" si="95"/>
        <v/>
      </c>
      <c r="M537" s="19" t="str">
        <f t="shared" si="96"/>
        <v/>
      </c>
    </row>
    <row r="538" spans="1:13" x14ac:dyDescent="0.25">
      <c r="A538" s="3" t="str">
        <f>IF(B538&lt;&gt;"",528,"")</f>
        <v/>
      </c>
      <c r="B538" s="18" t="str">
        <f t="shared" si="97"/>
        <v/>
      </c>
      <c r="C538" s="18" t="str">
        <f t="shared" si="89"/>
        <v/>
      </c>
      <c r="D538" s="18" t="str">
        <f t="shared" si="90"/>
        <v/>
      </c>
      <c r="E538" s="18" t="str">
        <f t="shared" si="91"/>
        <v/>
      </c>
      <c r="F538" s="19" t="str">
        <f t="shared" si="92"/>
        <v/>
      </c>
      <c r="H538" s="3" t="str">
        <f t="shared" si="88"/>
        <v/>
      </c>
      <c r="I538" s="18" t="str">
        <f t="shared" si="98"/>
        <v/>
      </c>
      <c r="J538" s="18" t="str">
        <f t="shared" si="93"/>
        <v/>
      </c>
      <c r="K538" s="18" t="str">
        <f t="shared" si="94"/>
        <v/>
      </c>
      <c r="L538" s="18" t="str">
        <f t="shared" si="95"/>
        <v/>
      </c>
      <c r="M538" s="19" t="str">
        <f t="shared" si="96"/>
        <v/>
      </c>
    </row>
    <row r="539" spans="1:13" x14ac:dyDescent="0.25">
      <c r="A539" s="3" t="str">
        <f>IF(B539&lt;&gt;"",529,"")</f>
        <v/>
      </c>
      <c r="B539" s="18" t="str">
        <f t="shared" si="97"/>
        <v/>
      </c>
      <c r="C539" s="18" t="str">
        <f t="shared" si="89"/>
        <v/>
      </c>
      <c r="D539" s="18" t="str">
        <f t="shared" si="90"/>
        <v/>
      </c>
      <c r="E539" s="18" t="str">
        <f t="shared" si="91"/>
        <v/>
      </c>
      <c r="F539" s="19" t="str">
        <f t="shared" si="92"/>
        <v/>
      </c>
      <c r="H539" s="3" t="str">
        <f t="shared" si="88"/>
        <v/>
      </c>
      <c r="I539" s="18" t="str">
        <f t="shared" si="98"/>
        <v/>
      </c>
      <c r="J539" s="18" t="str">
        <f t="shared" si="93"/>
        <v/>
      </c>
      <c r="K539" s="18" t="str">
        <f t="shared" si="94"/>
        <v/>
      </c>
      <c r="L539" s="18" t="str">
        <f t="shared" si="95"/>
        <v/>
      </c>
      <c r="M539" s="19" t="str">
        <f t="shared" si="96"/>
        <v/>
      </c>
    </row>
    <row r="540" spans="1:13" x14ac:dyDescent="0.25">
      <c r="A540" s="3" t="str">
        <f>IF(B540&lt;&gt;"",530,"")</f>
        <v/>
      </c>
      <c r="B540" s="18" t="str">
        <f t="shared" si="97"/>
        <v/>
      </c>
      <c r="C540" s="18" t="str">
        <f t="shared" si="89"/>
        <v/>
      </c>
      <c r="D540" s="18" t="str">
        <f t="shared" si="90"/>
        <v/>
      </c>
      <c r="E540" s="18" t="str">
        <f t="shared" si="91"/>
        <v/>
      </c>
      <c r="F540" s="19" t="str">
        <f t="shared" si="92"/>
        <v/>
      </c>
      <c r="H540" s="3" t="str">
        <f t="shared" si="88"/>
        <v/>
      </c>
      <c r="I540" s="18" t="str">
        <f t="shared" si="98"/>
        <v/>
      </c>
      <c r="J540" s="18" t="str">
        <f t="shared" si="93"/>
        <v/>
      </c>
      <c r="K540" s="18" t="str">
        <f t="shared" si="94"/>
        <v/>
      </c>
      <c r="L540" s="18" t="str">
        <f t="shared" si="95"/>
        <v/>
      </c>
      <c r="M540" s="19" t="str">
        <f t="shared" si="96"/>
        <v/>
      </c>
    </row>
    <row r="541" spans="1:13" x14ac:dyDescent="0.25">
      <c r="A541" s="3" t="str">
        <f>IF(B541&lt;&gt;"",531,"")</f>
        <v/>
      </c>
      <c r="B541" s="18" t="str">
        <f t="shared" si="97"/>
        <v/>
      </c>
      <c r="C541" s="18" t="str">
        <f t="shared" si="89"/>
        <v/>
      </c>
      <c r="D541" s="18" t="str">
        <f t="shared" si="90"/>
        <v/>
      </c>
      <c r="E541" s="18" t="str">
        <f t="shared" si="91"/>
        <v/>
      </c>
      <c r="F541" s="19" t="str">
        <f t="shared" si="92"/>
        <v/>
      </c>
      <c r="H541" s="3" t="str">
        <f t="shared" si="88"/>
        <v/>
      </c>
      <c r="I541" s="18" t="str">
        <f t="shared" si="98"/>
        <v/>
      </c>
      <c r="J541" s="18" t="str">
        <f t="shared" si="93"/>
        <v/>
      </c>
      <c r="K541" s="18" t="str">
        <f t="shared" si="94"/>
        <v/>
      </c>
      <c r="L541" s="18" t="str">
        <f t="shared" si="95"/>
        <v/>
      </c>
      <c r="M541" s="19" t="str">
        <f t="shared" si="96"/>
        <v/>
      </c>
    </row>
    <row r="542" spans="1:13" x14ac:dyDescent="0.25">
      <c r="A542" s="3" t="str">
        <f>IF(B542&lt;&gt;"",532,"")</f>
        <v/>
      </c>
      <c r="B542" s="18" t="str">
        <f t="shared" si="97"/>
        <v/>
      </c>
      <c r="C542" s="18" t="str">
        <f t="shared" si="89"/>
        <v/>
      </c>
      <c r="D542" s="18" t="str">
        <f t="shared" si="90"/>
        <v/>
      </c>
      <c r="E542" s="18" t="str">
        <f t="shared" si="91"/>
        <v/>
      </c>
      <c r="F542" s="19" t="str">
        <f t="shared" si="92"/>
        <v/>
      </c>
      <c r="H542" s="3" t="str">
        <f t="shared" si="88"/>
        <v/>
      </c>
      <c r="I542" s="18" t="str">
        <f t="shared" si="98"/>
        <v/>
      </c>
      <c r="J542" s="18" t="str">
        <f t="shared" si="93"/>
        <v/>
      </c>
      <c r="K542" s="18" t="str">
        <f t="shared" si="94"/>
        <v/>
      </c>
      <c r="L542" s="18" t="str">
        <f t="shared" si="95"/>
        <v/>
      </c>
      <c r="M542" s="19" t="str">
        <f t="shared" si="96"/>
        <v/>
      </c>
    </row>
    <row r="543" spans="1:13" x14ac:dyDescent="0.25">
      <c r="A543" s="3" t="str">
        <f>IF(B543&lt;&gt;"",533,"")</f>
        <v/>
      </c>
      <c r="B543" s="18" t="str">
        <f t="shared" si="97"/>
        <v/>
      </c>
      <c r="C543" s="18" t="str">
        <f t="shared" si="89"/>
        <v/>
      </c>
      <c r="D543" s="18" t="str">
        <f t="shared" si="90"/>
        <v/>
      </c>
      <c r="E543" s="18" t="str">
        <f t="shared" si="91"/>
        <v/>
      </c>
      <c r="F543" s="19" t="str">
        <f t="shared" si="92"/>
        <v/>
      </c>
      <c r="H543" s="3" t="str">
        <f t="shared" si="88"/>
        <v/>
      </c>
      <c r="I543" s="18" t="str">
        <f t="shared" si="98"/>
        <v/>
      </c>
      <c r="J543" s="18" t="str">
        <f t="shared" si="93"/>
        <v/>
      </c>
      <c r="K543" s="18" t="str">
        <f t="shared" si="94"/>
        <v/>
      </c>
      <c r="L543" s="18" t="str">
        <f t="shared" si="95"/>
        <v/>
      </c>
      <c r="M543" s="19" t="str">
        <f t="shared" si="96"/>
        <v/>
      </c>
    </row>
    <row r="544" spans="1:13" x14ac:dyDescent="0.25">
      <c r="A544" s="3" t="str">
        <f>IF(B544&lt;&gt;"",534,"")</f>
        <v/>
      </c>
      <c r="B544" s="18" t="str">
        <f t="shared" si="97"/>
        <v/>
      </c>
      <c r="C544" s="18" t="str">
        <f t="shared" si="89"/>
        <v/>
      </c>
      <c r="D544" s="18" t="str">
        <f t="shared" si="90"/>
        <v/>
      </c>
      <c r="E544" s="18" t="str">
        <f t="shared" si="91"/>
        <v/>
      </c>
      <c r="F544" s="19" t="str">
        <f t="shared" si="92"/>
        <v/>
      </c>
      <c r="H544" s="3" t="str">
        <f t="shared" si="88"/>
        <v/>
      </c>
      <c r="I544" s="18" t="str">
        <f t="shared" si="98"/>
        <v/>
      </c>
      <c r="J544" s="18" t="str">
        <f t="shared" si="93"/>
        <v/>
      </c>
      <c r="K544" s="18" t="str">
        <f t="shared" si="94"/>
        <v/>
      </c>
      <c r="L544" s="18" t="str">
        <f t="shared" si="95"/>
        <v/>
      </c>
      <c r="M544" s="19" t="str">
        <f t="shared" si="96"/>
        <v/>
      </c>
    </row>
    <row r="545" spans="1:13" x14ac:dyDescent="0.25">
      <c r="A545" s="3" t="str">
        <f>IF(B545&lt;&gt;"",535,"")</f>
        <v/>
      </c>
      <c r="B545" s="18" t="str">
        <f t="shared" si="97"/>
        <v/>
      </c>
      <c r="C545" s="18" t="str">
        <f t="shared" si="89"/>
        <v/>
      </c>
      <c r="D545" s="18" t="str">
        <f t="shared" si="90"/>
        <v/>
      </c>
      <c r="E545" s="18" t="str">
        <f t="shared" si="91"/>
        <v/>
      </c>
      <c r="F545" s="19" t="str">
        <f t="shared" si="92"/>
        <v/>
      </c>
      <c r="H545" s="3" t="str">
        <f t="shared" si="88"/>
        <v/>
      </c>
      <c r="I545" s="18" t="str">
        <f t="shared" si="98"/>
        <v/>
      </c>
      <c r="J545" s="18" t="str">
        <f t="shared" si="93"/>
        <v/>
      </c>
      <c r="K545" s="18" t="str">
        <f t="shared" si="94"/>
        <v/>
      </c>
      <c r="L545" s="18" t="str">
        <f t="shared" si="95"/>
        <v/>
      </c>
      <c r="M545" s="19" t="str">
        <f t="shared" si="96"/>
        <v/>
      </c>
    </row>
    <row r="546" spans="1:13" x14ac:dyDescent="0.25">
      <c r="A546" s="3" t="str">
        <f>IF(B546&lt;&gt;"",536,"")</f>
        <v/>
      </c>
      <c r="B546" s="18" t="str">
        <f t="shared" si="97"/>
        <v/>
      </c>
      <c r="C546" s="18" t="str">
        <f t="shared" si="89"/>
        <v/>
      </c>
      <c r="D546" s="18" t="str">
        <f t="shared" si="90"/>
        <v/>
      </c>
      <c r="E546" s="18" t="str">
        <f t="shared" si="91"/>
        <v/>
      </c>
      <c r="F546" s="19" t="str">
        <f t="shared" si="92"/>
        <v/>
      </c>
      <c r="H546" s="3" t="str">
        <f t="shared" si="88"/>
        <v/>
      </c>
      <c r="I546" s="18" t="str">
        <f t="shared" si="98"/>
        <v/>
      </c>
      <c r="J546" s="18" t="str">
        <f t="shared" si="93"/>
        <v/>
      </c>
      <c r="K546" s="18" t="str">
        <f t="shared" si="94"/>
        <v/>
      </c>
      <c r="L546" s="18" t="str">
        <f t="shared" si="95"/>
        <v/>
      </c>
      <c r="M546" s="19" t="str">
        <f t="shared" si="96"/>
        <v/>
      </c>
    </row>
    <row r="547" spans="1:13" x14ac:dyDescent="0.25">
      <c r="A547" s="3" t="str">
        <f>IF(B547&lt;&gt;"",537,"")</f>
        <v/>
      </c>
      <c r="B547" s="18" t="str">
        <f t="shared" si="97"/>
        <v/>
      </c>
      <c r="C547" s="18" t="str">
        <f t="shared" si="89"/>
        <v/>
      </c>
      <c r="D547" s="18" t="str">
        <f t="shared" si="90"/>
        <v/>
      </c>
      <c r="E547" s="18" t="str">
        <f t="shared" si="91"/>
        <v/>
      </c>
      <c r="F547" s="19" t="str">
        <f t="shared" si="92"/>
        <v/>
      </c>
      <c r="H547" s="3" t="str">
        <f t="shared" si="88"/>
        <v/>
      </c>
      <c r="I547" s="18" t="str">
        <f t="shared" si="98"/>
        <v/>
      </c>
      <c r="J547" s="18" t="str">
        <f t="shared" si="93"/>
        <v/>
      </c>
      <c r="K547" s="18" t="str">
        <f t="shared" si="94"/>
        <v/>
      </c>
      <c r="L547" s="18" t="str">
        <f t="shared" si="95"/>
        <v/>
      </c>
      <c r="M547" s="19" t="str">
        <f t="shared" si="96"/>
        <v/>
      </c>
    </row>
    <row r="548" spans="1:13" x14ac:dyDescent="0.25">
      <c r="A548" s="3" t="str">
        <f>IF(B548&lt;&gt;"",538,"")</f>
        <v/>
      </c>
      <c r="B548" s="18" t="str">
        <f t="shared" si="97"/>
        <v/>
      </c>
      <c r="C548" s="18" t="str">
        <f t="shared" si="89"/>
        <v/>
      </c>
      <c r="D548" s="18" t="str">
        <f t="shared" si="90"/>
        <v/>
      </c>
      <c r="E548" s="18" t="str">
        <f t="shared" si="91"/>
        <v/>
      </c>
      <c r="F548" s="19" t="str">
        <f t="shared" si="92"/>
        <v/>
      </c>
      <c r="H548" s="3" t="str">
        <f t="shared" si="88"/>
        <v/>
      </c>
      <c r="I548" s="18" t="str">
        <f t="shared" si="98"/>
        <v/>
      </c>
      <c r="J548" s="18" t="str">
        <f t="shared" si="93"/>
        <v/>
      </c>
      <c r="K548" s="18" t="str">
        <f t="shared" si="94"/>
        <v/>
      </c>
      <c r="L548" s="18" t="str">
        <f t="shared" si="95"/>
        <v/>
      </c>
      <c r="M548" s="19" t="str">
        <f t="shared" si="96"/>
        <v/>
      </c>
    </row>
    <row r="549" spans="1:13" x14ac:dyDescent="0.25">
      <c r="A549" s="3" t="str">
        <f>IF(B549&lt;&gt;"",539,"")</f>
        <v/>
      </c>
      <c r="B549" s="18" t="str">
        <f t="shared" si="97"/>
        <v/>
      </c>
      <c r="C549" s="18" t="str">
        <f t="shared" si="89"/>
        <v/>
      </c>
      <c r="D549" s="18" t="str">
        <f t="shared" si="90"/>
        <v/>
      </c>
      <c r="E549" s="18" t="str">
        <f t="shared" si="91"/>
        <v/>
      </c>
      <c r="F549" s="19" t="str">
        <f t="shared" si="92"/>
        <v/>
      </c>
      <c r="H549" s="3" t="str">
        <f t="shared" si="88"/>
        <v/>
      </c>
      <c r="I549" s="18" t="str">
        <f t="shared" si="98"/>
        <v/>
      </c>
      <c r="J549" s="18" t="str">
        <f t="shared" si="93"/>
        <v/>
      </c>
      <c r="K549" s="18" t="str">
        <f t="shared" si="94"/>
        <v/>
      </c>
      <c r="L549" s="18" t="str">
        <f t="shared" si="95"/>
        <v/>
      </c>
      <c r="M549" s="19" t="str">
        <f t="shared" si="96"/>
        <v/>
      </c>
    </row>
    <row r="550" spans="1:13" x14ac:dyDescent="0.25">
      <c r="A550" s="3" t="str">
        <f>IF(B550&lt;&gt;"",540,"")</f>
        <v/>
      </c>
      <c r="B550" s="18" t="str">
        <f t="shared" si="97"/>
        <v/>
      </c>
      <c r="C550" s="18" t="str">
        <f t="shared" si="89"/>
        <v/>
      </c>
      <c r="D550" s="18" t="str">
        <f t="shared" si="90"/>
        <v/>
      </c>
      <c r="E550" s="18" t="str">
        <f t="shared" si="91"/>
        <v/>
      </c>
      <c r="F550" s="19" t="str">
        <f t="shared" si="92"/>
        <v/>
      </c>
      <c r="H550" s="3" t="str">
        <f t="shared" si="88"/>
        <v/>
      </c>
      <c r="I550" s="18" t="str">
        <f t="shared" si="98"/>
        <v/>
      </c>
      <c r="J550" s="18" t="str">
        <f t="shared" si="93"/>
        <v/>
      </c>
      <c r="K550" s="18" t="str">
        <f t="shared" si="94"/>
        <v/>
      </c>
      <c r="L550" s="18" t="str">
        <f t="shared" si="95"/>
        <v/>
      </c>
      <c r="M550" s="19" t="str">
        <f t="shared" si="96"/>
        <v/>
      </c>
    </row>
    <row r="551" spans="1:13" x14ac:dyDescent="0.25">
      <c r="A551" s="3" t="str">
        <f>IF(B551&lt;&gt;"",541,"")</f>
        <v/>
      </c>
      <c r="B551" s="18" t="str">
        <f t="shared" si="97"/>
        <v/>
      </c>
      <c r="C551" s="18" t="str">
        <f t="shared" si="89"/>
        <v/>
      </c>
      <c r="D551" s="18" t="str">
        <f t="shared" si="90"/>
        <v/>
      </c>
      <c r="E551" s="18" t="str">
        <f t="shared" si="91"/>
        <v/>
      </c>
      <c r="F551" s="19" t="str">
        <f t="shared" si="92"/>
        <v/>
      </c>
      <c r="H551" s="3" t="str">
        <f t="shared" si="88"/>
        <v/>
      </c>
      <c r="I551" s="18" t="str">
        <f t="shared" si="98"/>
        <v/>
      </c>
      <c r="J551" s="18" t="str">
        <f t="shared" si="93"/>
        <v/>
      </c>
      <c r="K551" s="18" t="str">
        <f t="shared" si="94"/>
        <v/>
      </c>
      <c r="L551" s="18" t="str">
        <f t="shared" si="95"/>
        <v/>
      </c>
      <c r="M551" s="19" t="str">
        <f t="shared" si="96"/>
        <v/>
      </c>
    </row>
    <row r="552" spans="1:13" x14ac:dyDescent="0.25">
      <c r="A552" s="3" t="str">
        <f>IF(B552&lt;&gt;"",542,"")</f>
        <v/>
      </c>
      <c r="B552" s="18" t="str">
        <f t="shared" si="97"/>
        <v/>
      </c>
      <c r="C552" s="18" t="str">
        <f t="shared" si="89"/>
        <v/>
      </c>
      <c r="D552" s="18" t="str">
        <f t="shared" si="90"/>
        <v/>
      </c>
      <c r="E552" s="18" t="str">
        <f t="shared" si="91"/>
        <v/>
      </c>
      <c r="F552" s="19" t="str">
        <f t="shared" si="92"/>
        <v/>
      </c>
      <c r="H552" s="3" t="str">
        <f t="shared" si="88"/>
        <v/>
      </c>
      <c r="I552" s="18" t="str">
        <f t="shared" si="98"/>
        <v/>
      </c>
      <c r="J552" s="18" t="str">
        <f t="shared" si="93"/>
        <v/>
      </c>
      <c r="K552" s="18" t="str">
        <f t="shared" si="94"/>
        <v/>
      </c>
      <c r="L552" s="18" t="str">
        <f t="shared" si="95"/>
        <v/>
      </c>
      <c r="M552" s="19" t="str">
        <f t="shared" si="96"/>
        <v/>
      </c>
    </row>
    <row r="553" spans="1:13" x14ac:dyDescent="0.25">
      <c r="A553" s="3" t="str">
        <f>IF(B553&lt;&gt;"",543,"")</f>
        <v/>
      </c>
      <c r="B553" s="18" t="str">
        <f t="shared" si="97"/>
        <v/>
      </c>
      <c r="C553" s="18" t="str">
        <f t="shared" si="89"/>
        <v/>
      </c>
      <c r="D553" s="18" t="str">
        <f t="shared" si="90"/>
        <v/>
      </c>
      <c r="E553" s="18" t="str">
        <f t="shared" si="91"/>
        <v/>
      </c>
      <c r="F553" s="19" t="str">
        <f t="shared" si="92"/>
        <v/>
      </c>
      <c r="H553" s="3" t="str">
        <f t="shared" si="88"/>
        <v/>
      </c>
      <c r="I553" s="18" t="str">
        <f t="shared" si="98"/>
        <v/>
      </c>
      <c r="J553" s="18" t="str">
        <f t="shared" si="93"/>
        <v/>
      </c>
      <c r="K553" s="18" t="str">
        <f t="shared" si="94"/>
        <v/>
      </c>
      <c r="L553" s="18" t="str">
        <f t="shared" si="95"/>
        <v/>
      </c>
      <c r="M553" s="19" t="str">
        <f t="shared" si="96"/>
        <v/>
      </c>
    </row>
    <row r="554" spans="1:13" x14ac:dyDescent="0.25">
      <c r="A554" s="3" t="str">
        <f>IF(B554&lt;&gt;"",544,"")</f>
        <v/>
      </c>
      <c r="B554" s="18" t="str">
        <f t="shared" si="97"/>
        <v/>
      </c>
      <c r="C554" s="18" t="str">
        <f t="shared" si="89"/>
        <v/>
      </c>
      <c r="D554" s="18" t="str">
        <f t="shared" si="90"/>
        <v/>
      </c>
      <c r="E554" s="18" t="str">
        <f t="shared" si="91"/>
        <v/>
      </c>
      <c r="F554" s="19" t="str">
        <f t="shared" si="92"/>
        <v/>
      </c>
      <c r="H554" s="3" t="str">
        <f t="shared" si="88"/>
        <v/>
      </c>
      <c r="I554" s="18" t="str">
        <f t="shared" si="98"/>
        <v/>
      </c>
      <c r="J554" s="18" t="str">
        <f t="shared" si="93"/>
        <v/>
      </c>
      <c r="K554" s="18" t="str">
        <f t="shared" si="94"/>
        <v/>
      </c>
      <c r="L554" s="18" t="str">
        <f t="shared" si="95"/>
        <v/>
      </c>
      <c r="M554" s="19" t="str">
        <f t="shared" si="96"/>
        <v/>
      </c>
    </row>
    <row r="555" spans="1:13" x14ac:dyDescent="0.25">
      <c r="A555" s="3" t="str">
        <f>IF(B555&lt;&gt;"",545,"")</f>
        <v/>
      </c>
      <c r="B555" s="18" t="str">
        <f t="shared" si="97"/>
        <v/>
      </c>
      <c r="C555" s="18" t="str">
        <f t="shared" si="89"/>
        <v/>
      </c>
      <c r="D555" s="18" t="str">
        <f t="shared" si="90"/>
        <v/>
      </c>
      <c r="E555" s="18" t="str">
        <f t="shared" si="91"/>
        <v/>
      </c>
      <c r="F555" s="19" t="str">
        <f t="shared" si="92"/>
        <v/>
      </c>
      <c r="H555" s="3" t="str">
        <f t="shared" si="88"/>
        <v/>
      </c>
      <c r="I555" s="18" t="str">
        <f t="shared" si="98"/>
        <v/>
      </c>
      <c r="J555" s="18" t="str">
        <f t="shared" si="93"/>
        <v/>
      </c>
      <c r="K555" s="18" t="str">
        <f t="shared" si="94"/>
        <v/>
      </c>
      <c r="L555" s="18" t="str">
        <f t="shared" si="95"/>
        <v/>
      </c>
      <c r="M555" s="19" t="str">
        <f t="shared" si="96"/>
        <v/>
      </c>
    </row>
    <row r="556" spans="1:13" x14ac:dyDescent="0.25">
      <c r="A556" s="3" t="str">
        <f>IF(B556&lt;&gt;"",546,"")</f>
        <v/>
      </c>
      <c r="B556" s="18" t="str">
        <f t="shared" si="97"/>
        <v/>
      </c>
      <c r="C556" s="18" t="str">
        <f t="shared" si="89"/>
        <v/>
      </c>
      <c r="D556" s="18" t="str">
        <f t="shared" si="90"/>
        <v/>
      </c>
      <c r="E556" s="18" t="str">
        <f t="shared" si="91"/>
        <v/>
      </c>
      <c r="F556" s="19" t="str">
        <f t="shared" si="92"/>
        <v/>
      </c>
      <c r="H556" s="3" t="str">
        <f t="shared" si="88"/>
        <v/>
      </c>
      <c r="I556" s="18" t="str">
        <f t="shared" si="98"/>
        <v/>
      </c>
      <c r="J556" s="18" t="str">
        <f t="shared" si="93"/>
        <v/>
      </c>
      <c r="K556" s="18" t="str">
        <f t="shared" si="94"/>
        <v/>
      </c>
      <c r="L556" s="18" t="str">
        <f t="shared" si="95"/>
        <v/>
      </c>
      <c r="M556" s="19" t="str">
        <f t="shared" si="96"/>
        <v/>
      </c>
    </row>
    <row r="557" spans="1:13" x14ac:dyDescent="0.25">
      <c r="A557" s="3" t="str">
        <f>IF(B557&lt;&gt;"",547,"")</f>
        <v/>
      </c>
      <c r="B557" s="18" t="str">
        <f t="shared" si="97"/>
        <v/>
      </c>
      <c r="C557" s="18" t="str">
        <f t="shared" si="89"/>
        <v/>
      </c>
      <c r="D557" s="18" t="str">
        <f t="shared" si="90"/>
        <v/>
      </c>
      <c r="E557" s="18" t="str">
        <f t="shared" si="91"/>
        <v/>
      </c>
      <c r="F557" s="19" t="str">
        <f t="shared" si="92"/>
        <v/>
      </c>
      <c r="H557" s="3" t="str">
        <f t="shared" si="88"/>
        <v/>
      </c>
      <c r="I557" s="18" t="str">
        <f t="shared" si="98"/>
        <v/>
      </c>
      <c r="J557" s="18" t="str">
        <f t="shared" si="93"/>
        <v/>
      </c>
      <c r="K557" s="18" t="str">
        <f t="shared" si="94"/>
        <v/>
      </c>
      <c r="L557" s="18" t="str">
        <f t="shared" si="95"/>
        <v/>
      </c>
      <c r="M557" s="19" t="str">
        <f t="shared" si="96"/>
        <v/>
      </c>
    </row>
    <row r="558" spans="1:13" x14ac:dyDescent="0.25">
      <c r="A558" s="3" t="str">
        <f>IF(B558&lt;&gt;"",548,"")</f>
        <v/>
      </c>
      <c r="B558" s="18" t="str">
        <f t="shared" si="97"/>
        <v/>
      </c>
      <c r="C558" s="18" t="str">
        <f t="shared" si="89"/>
        <v/>
      </c>
      <c r="D558" s="18" t="str">
        <f t="shared" si="90"/>
        <v/>
      </c>
      <c r="E558" s="18" t="str">
        <f t="shared" si="91"/>
        <v/>
      </c>
      <c r="F558" s="19" t="str">
        <f t="shared" si="92"/>
        <v/>
      </c>
      <c r="H558" s="3" t="str">
        <f t="shared" si="88"/>
        <v/>
      </c>
      <c r="I558" s="18" t="str">
        <f t="shared" si="98"/>
        <v/>
      </c>
      <c r="J558" s="18" t="str">
        <f t="shared" si="93"/>
        <v/>
      </c>
      <c r="K558" s="18" t="str">
        <f t="shared" si="94"/>
        <v/>
      </c>
      <c r="L558" s="18" t="str">
        <f t="shared" si="95"/>
        <v/>
      </c>
      <c r="M558" s="19" t="str">
        <f t="shared" si="96"/>
        <v/>
      </c>
    </row>
    <row r="559" spans="1:13" x14ac:dyDescent="0.25">
      <c r="A559" s="3" t="str">
        <f>IF(B559&lt;&gt;"",549,"")</f>
        <v/>
      </c>
      <c r="B559" s="18" t="str">
        <f t="shared" si="97"/>
        <v/>
      </c>
      <c r="C559" s="18" t="str">
        <f t="shared" si="89"/>
        <v/>
      </c>
      <c r="D559" s="18" t="str">
        <f t="shared" si="90"/>
        <v/>
      </c>
      <c r="E559" s="18" t="str">
        <f t="shared" si="91"/>
        <v/>
      </c>
      <c r="F559" s="19" t="str">
        <f t="shared" si="92"/>
        <v/>
      </c>
      <c r="H559" s="3" t="str">
        <f t="shared" si="88"/>
        <v/>
      </c>
      <c r="I559" s="18" t="str">
        <f t="shared" si="98"/>
        <v/>
      </c>
      <c r="J559" s="18" t="str">
        <f t="shared" si="93"/>
        <v/>
      </c>
      <c r="K559" s="18" t="str">
        <f t="shared" si="94"/>
        <v/>
      </c>
      <c r="L559" s="18" t="str">
        <f t="shared" si="95"/>
        <v/>
      </c>
      <c r="M559" s="19" t="str">
        <f t="shared" si="96"/>
        <v/>
      </c>
    </row>
    <row r="560" spans="1:13" x14ac:dyDescent="0.25">
      <c r="A560" s="3" t="str">
        <f>IF(B560&lt;&gt;"",550,"")</f>
        <v/>
      </c>
      <c r="B560" s="18" t="str">
        <f t="shared" si="97"/>
        <v/>
      </c>
      <c r="C560" s="18" t="str">
        <f t="shared" si="89"/>
        <v/>
      </c>
      <c r="D560" s="18" t="str">
        <f t="shared" si="90"/>
        <v/>
      </c>
      <c r="E560" s="18" t="str">
        <f t="shared" si="91"/>
        <v/>
      </c>
      <c r="F560" s="19" t="str">
        <f t="shared" si="92"/>
        <v/>
      </c>
      <c r="H560" s="3" t="str">
        <f t="shared" si="88"/>
        <v/>
      </c>
      <c r="I560" s="18" t="str">
        <f t="shared" si="98"/>
        <v/>
      </c>
      <c r="J560" s="18" t="str">
        <f t="shared" si="93"/>
        <v/>
      </c>
      <c r="K560" s="18" t="str">
        <f t="shared" si="94"/>
        <v/>
      </c>
      <c r="L560" s="18" t="str">
        <f t="shared" si="95"/>
        <v/>
      </c>
      <c r="M560" s="19" t="str">
        <f t="shared" si="96"/>
        <v/>
      </c>
    </row>
    <row r="561" spans="1:13" x14ac:dyDescent="0.25">
      <c r="A561" s="3" t="str">
        <f>IF(B561&lt;&gt;"",551,"")</f>
        <v/>
      </c>
      <c r="B561" s="18" t="str">
        <f t="shared" si="97"/>
        <v/>
      </c>
      <c r="C561" s="18" t="str">
        <f t="shared" si="89"/>
        <v/>
      </c>
      <c r="D561" s="18" t="str">
        <f t="shared" si="90"/>
        <v/>
      </c>
      <c r="E561" s="18" t="str">
        <f t="shared" si="91"/>
        <v/>
      </c>
      <c r="F561" s="19" t="str">
        <f t="shared" si="92"/>
        <v/>
      </c>
      <c r="H561" s="3" t="str">
        <f t="shared" si="88"/>
        <v/>
      </c>
      <c r="I561" s="18" t="str">
        <f t="shared" si="98"/>
        <v/>
      </c>
      <c r="J561" s="18" t="str">
        <f t="shared" si="93"/>
        <v/>
      </c>
      <c r="K561" s="18" t="str">
        <f t="shared" si="94"/>
        <v/>
      </c>
      <c r="L561" s="18" t="str">
        <f t="shared" si="95"/>
        <v/>
      </c>
      <c r="M561" s="19" t="str">
        <f t="shared" si="96"/>
        <v/>
      </c>
    </row>
    <row r="562" spans="1:13" x14ac:dyDescent="0.25">
      <c r="A562" s="3" t="str">
        <f>IF(B562&lt;&gt;"",552,"")</f>
        <v/>
      </c>
      <c r="B562" s="18" t="str">
        <f t="shared" si="97"/>
        <v/>
      </c>
      <c r="C562" s="18" t="str">
        <f t="shared" si="89"/>
        <v/>
      </c>
      <c r="D562" s="18" t="str">
        <f t="shared" si="90"/>
        <v/>
      </c>
      <c r="E562" s="18" t="str">
        <f t="shared" si="91"/>
        <v/>
      </c>
      <c r="F562" s="19" t="str">
        <f t="shared" si="92"/>
        <v/>
      </c>
      <c r="H562" s="3" t="str">
        <f t="shared" si="88"/>
        <v/>
      </c>
      <c r="I562" s="18" t="str">
        <f t="shared" si="98"/>
        <v/>
      </c>
      <c r="J562" s="18" t="str">
        <f t="shared" si="93"/>
        <v/>
      </c>
      <c r="K562" s="18" t="str">
        <f t="shared" si="94"/>
        <v/>
      </c>
      <c r="L562" s="18" t="str">
        <f t="shared" si="95"/>
        <v/>
      </c>
      <c r="M562" s="19" t="str">
        <f t="shared" si="96"/>
        <v/>
      </c>
    </row>
    <row r="563" spans="1:13" x14ac:dyDescent="0.25">
      <c r="A563" s="3" t="str">
        <f>IF(B563&lt;&gt;"",553,"")</f>
        <v/>
      </c>
      <c r="B563" s="18" t="str">
        <f t="shared" si="97"/>
        <v/>
      </c>
      <c r="C563" s="18" t="str">
        <f t="shared" si="89"/>
        <v/>
      </c>
      <c r="D563" s="18" t="str">
        <f t="shared" si="90"/>
        <v/>
      </c>
      <c r="E563" s="18" t="str">
        <f t="shared" si="91"/>
        <v/>
      </c>
      <c r="F563" s="19" t="str">
        <f t="shared" si="92"/>
        <v/>
      </c>
      <c r="H563" s="3" t="str">
        <f t="shared" si="88"/>
        <v/>
      </c>
      <c r="I563" s="18" t="str">
        <f t="shared" si="98"/>
        <v/>
      </c>
      <c r="J563" s="18" t="str">
        <f t="shared" si="93"/>
        <v/>
      </c>
      <c r="K563" s="18" t="str">
        <f t="shared" si="94"/>
        <v/>
      </c>
      <c r="L563" s="18" t="str">
        <f t="shared" si="95"/>
        <v/>
      </c>
      <c r="M563" s="19" t="str">
        <f t="shared" si="96"/>
        <v/>
      </c>
    </row>
    <row r="564" spans="1:13" x14ac:dyDescent="0.25">
      <c r="A564" s="3" t="str">
        <f>IF(B564&lt;&gt;"",554,"")</f>
        <v/>
      </c>
      <c r="B564" s="18" t="str">
        <f t="shared" si="97"/>
        <v/>
      </c>
      <c r="C564" s="18" t="str">
        <f t="shared" si="89"/>
        <v/>
      </c>
      <c r="D564" s="18" t="str">
        <f t="shared" si="90"/>
        <v/>
      </c>
      <c r="E564" s="18" t="str">
        <f t="shared" si="91"/>
        <v/>
      </c>
      <c r="F564" s="19" t="str">
        <f t="shared" si="92"/>
        <v/>
      </c>
      <c r="H564" s="3" t="str">
        <f t="shared" ref="H564:H610" si="99">A564</f>
        <v/>
      </c>
      <c r="I564" s="18" t="str">
        <f t="shared" si="98"/>
        <v/>
      </c>
      <c r="J564" s="18" t="str">
        <f t="shared" si="93"/>
        <v/>
      </c>
      <c r="K564" s="18" t="str">
        <f t="shared" si="94"/>
        <v/>
      </c>
      <c r="L564" s="18" t="str">
        <f t="shared" si="95"/>
        <v/>
      </c>
      <c r="M564" s="19" t="str">
        <f t="shared" si="96"/>
        <v/>
      </c>
    </row>
    <row r="565" spans="1:13" x14ac:dyDescent="0.25">
      <c r="A565" s="3" t="str">
        <f>IF(B565&lt;&gt;"",555,"")</f>
        <v/>
      </c>
      <c r="B565" s="18" t="str">
        <f t="shared" si="97"/>
        <v/>
      </c>
      <c r="C565" s="18" t="str">
        <f t="shared" si="89"/>
        <v/>
      </c>
      <c r="D565" s="18" t="str">
        <f t="shared" si="90"/>
        <v/>
      </c>
      <c r="E565" s="18" t="str">
        <f t="shared" si="91"/>
        <v/>
      </c>
      <c r="F565" s="19" t="str">
        <f t="shared" si="92"/>
        <v/>
      </c>
      <c r="H565" s="3" t="str">
        <f t="shared" si="99"/>
        <v/>
      </c>
      <c r="I565" s="18" t="str">
        <f t="shared" si="98"/>
        <v/>
      </c>
      <c r="J565" s="18" t="str">
        <f t="shared" si="93"/>
        <v/>
      </c>
      <c r="K565" s="18" t="str">
        <f t="shared" si="94"/>
        <v/>
      </c>
      <c r="L565" s="18" t="str">
        <f t="shared" si="95"/>
        <v/>
      </c>
      <c r="M565" s="19" t="str">
        <f t="shared" si="96"/>
        <v/>
      </c>
    </row>
    <row r="566" spans="1:13" x14ac:dyDescent="0.25">
      <c r="A566" s="3" t="str">
        <f>IF(B566&lt;&gt;"",556,"")</f>
        <v/>
      </c>
      <c r="B566" s="18" t="str">
        <f t="shared" si="97"/>
        <v/>
      </c>
      <c r="C566" s="18" t="str">
        <f t="shared" si="89"/>
        <v/>
      </c>
      <c r="D566" s="18" t="str">
        <f t="shared" si="90"/>
        <v/>
      </c>
      <c r="E566" s="18" t="str">
        <f t="shared" si="91"/>
        <v/>
      </c>
      <c r="F566" s="19" t="str">
        <f t="shared" si="92"/>
        <v/>
      </c>
      <c r="H566" s="3" t="str">
        <f t="shared" si="99"/>
        <v/>
      </c>
      <c r="I566" s="18" t="str">
        <f t="shared" si="98"/>
        <v/>
      </c>
      <c r="J566" s="18" t="str">
        <f t="shared" si="93"/>
        <v/>
      </c>
      <c r="K566" s="18" t="str">
        <f t="shared" si="94"/>
        <v/>
      </c>
      <c r="L566" s="18" t="str">
        <f t="shared" si="95"/>
        <v/>
      </c>
      <c r="M566" s="19" t="str">
        <f t="shared" si="96"/>
        <v/>
      </c>
    </row>
    <row r="567" spans="1:13" x14ac:dyDescent="0.25">
      <c r="A567" s="3" t="str">
        <f>IF(B567&lt;&gt;"",557,"")</f>
        <v/>
      </c>
      <c r="B567" s="18" t="str">
        <f t="shared" si="97"/>
        <v/>
      </c>
      <c r="C567" s="18" t="str">
        <f t="shared" si="89"/>
        <v/>
      </c>
      <c r="D567" s="18" t="str">
        <f t="shared" si="90"/>
        <v/>
      </c>
      <c r="E567" s="18" t="str">
        <f t="shared" si="91"/>
        <v/>
      </c>
      <c r="F567" s="19" t="str">
        <f t="shared" si="92"/>
        <v/>
      </c>
      <c r="H567" s="3" t="str">
        <f t="shared" si="99"/>
        <v/>
      </c>
      <c r="I567" s="18" t="str">
        <f t="shared" si="98"/>
        <v/>
      </c>
      <c r="J567" s="18" t="str">
        <f t="shared" si="93"/>
        <v/>
      </c>
      <c r="K567" s="18" t="str">
        <f t="shared" si="94"/>
        <v/>
      </c>
      <c r="L567" s="18" t="str">
        <f t="shared" si="95"/>
        <v/>
      </c>
      <c r="M567" s="19" t="str">
        <f t="shared" si="96"/>
        <v/>
      </c>
    </row>
    <row r="568" spans="1:13" x14ac:dyDescent="0.25">
      <c r="A568" s="3" t="str">
        <f>IF(B568&lt;&gt;"",558,"")</f>
        <v/>
      </c>
      <c r="B568" s="18" t="str">
        <f t="shared" si="97"/>
        <v/>
      </c>
      <c r="C568" s="18" t="str">
        <f t="shared" si="89"/>
        <v/>
      </c>
      <c r="D568" s="18" t="str">
        <f t="shared" si="90"/>
        <v/>
      </c>
      <c r="E568" s="18" t="str">
        <f t="shared" si="91"/>
        <v/>
      </c>
      <c r="F568" s="19" t="str">
        <f t="shared" si="92"/>
        <v/>
      </c>
      <c r="H568" s="3" t="str">
        <f t="shared" si="99"/>
        <v/>
      </c>
      <c r="I568" s="18" t="str">
        <f t="shared" si="98"/>
        <v/>
      </c>
      <c r="J568" s="18" t="str">
        <f t="shared" si="93"/>
        <v/>
      </c>
      <c r="K568" s="18" t="str">
        <f t="shared" si="94"/>
        <v/>
      </c>
      <c r="L568" s="18" t="str">
        <f t="shared" si="95"/>
        <v/>
      </c>
      <c r="M568" s="19" t="str">
        <f t="shared" si="96"/>
        <v/>
      </c>
    </row>
    <row r="569" spans="1:13" x14ac:dyDescent="0.25">
      <c r="A569" s="3" t="str">
        <f>IF(B569&lt;&gt;"",559,"")</f>
        <v/>
      </c>
      <c r="B569" s="18" t="str">
        <f t="shared" si="97"/>
        <v/>
      </c>
      <c r="C569" s="18" t="str">
        <f t="shared" si="89"/>
        <v/>
      </c>
      <c r="D569" s="18" t="str">
        <f t="shared" si="90"/>
        <v/>
      </c>
      <c r="E569" s="18" t="str">
        <f t="shared" si="91"/>
        <v/>
      </c>
      <c r="F569" s="19" t="str">
        <f t="shared" si="92"/>
        <v/>
      </c>
      <c r="H569" s="3" t="str">
        <f t="shared" si="99"/>
        <v/>
      </c>
      <c r="I569" s="18" t="str">
        <f t="shared" si="98"/>
        <v/>
      </c>
      <c r="J569" s="18" t="str">
        <f t="shared" si="93"/>
        <v/>
      </c>
      <c r="K569" s="18" t="str">
        <f t="shared" si="94"/>
        <v/>
      </c>
      <c r="L569" s="18" t="str">
        <f t="shared" si="95"/>
        <v/>
      </c>
      <c r="M569" s="19" t="str">
        <f t="shared" si="96"/>
        <v/>
      </c>
    </row>
    <row r="570" spans="1:13" x14ac:dyDescent="0.25">
      <c r="A570" s="3" t="str">
        <f>IF(B570&lt;&gt;"",560,"")</f>
        <v/>
      </c>
      <c r="B570" s="18" t="str">
        <f t="shared" si="97"/>
        <v/>
      </c>
      <c r="C570" s="18" t="str">
        <f t="shared" si="89"/>
        <v/>
      </c>
      <c r="D570" s="18" t="str">
        <f t="shared" si="90"/>
        <v/>
      </c>
      <c r="E570" s="18" t="str">
        <f t="shared" si="91"/>
        <v/>
      </c>
      <c r="F570" s="19" t="str">
        <f t="shared" si="92"/>
        <v/>
      </c>
      <c r="H570" s="3" t="str">
        <f t="shared" si="99"/>
        <v/>
      </c>
      <c r="I570" s="18" t="str">
        <f t="shared" si="98"/>
        <v/>
      </c>
      <c r="J570" s="18" t="str">
        <f t="shared" si="93"/>
        <v/>
      </c>
      <c r="K570" s="18" t="str">
        <f t="shared" si="94"/>
        <v/>
      </c>
      <c r="L570" s="18" t="str">
        <f t="shared" si="95"/>
        <v/>
      </c>
      <c r="M570" s="19" t="str">
        <f t="shared" si="96"/>
        <v/>
      </c>
    </row>
    <row r="571" spans="1:13" x14ac:dyDescent="0.25">
      <c r="A571" s="3" t="str">
        <f>IF(B571&lt;&gt;"",561,"")</f>
        <v/>
      </c>
      <c r="B571" s="18" t="str">
        <f t="shared" si="97"/>
        <v/>
      </c>
      <c r="C571" s="18" t="str">
        <f t="shared" si="89"/>
        <v/>
      </c>
      <c r="D571" s="18" t="str">
        <f t="shared" si="90"/>
        <v/>
      </c>
      <c r="E571" s="18" t="str">
        <f t="shared" si="91"/>
        <v/>
      </c>
      <c r="F571" s="19" t="str">
        <f t="shared" si="92"/>
        <v/>
      </c>
      <c r="H571" s="3" t="str">
        <f t="shared" si="99"/>
        <v/>
      </c>
      <c r="I571" s="18" t="str">
        <f t="shared" si="98"/>
        <v/>
      </c>
      <c r="J571" s="18" t="str">
        <f t="shared" si="93"/>
        <v/>
      </c>
      <c r="K571" s="18" t="str">
        <f t="shared" si="94"/>
        <v/>
      </c>
      <c r="L571" s="18" t="str">
        <f t="shared" si="95"/>
        <v/>
      </c>
      <c r="M571" s="19" t="str">
        <f t="shared" si="96"/>
        <v/>
      </c>
    </row>
    <row r="572" spans="1:13" x14ac:dyDescent="0.25">
      <c r="A572" s="3" t="str">
        <f>IF(B572&lt;&gt;"",562,"")</f>
        <v/>
      </c>
      <c r="B572" s="18" t="str">
        <f t="shared" si="97"/>
        <v/>
      </c>
      <c r="C572" s="18" t="str">
        <f t="shared" si="89"/>
        <v/>
      </c>
      <c r="D572" s="18" t="str">
        <f t="shared" si="90"/>
        <v/>
      </c>
      <c r="E572" s="18" t="str">
        <f t="shared" si="91"/>
        <v/>
      </c>
      <c r="F572" s="19" t="str">
        <f t="shared" si="92"/>
        <v/>
      </c>
      <c r="H572" s="3" t="str">
        <f t="shared" si="99"/>
        <v/>
      </c>
      <c r="I572" s="18" t="str">
        <f t="shared" si="98"/>
        <v/>
      </c>
      <c r="J572" s="18" t="str">
        <f t="shared" si="93"/>
        <v/>
      </c>
      <c r="K572" s="18" t="str">
        <f t="shared" si="94"/>
        <v/>
      </c>
      <c r="L572" s="18" t="str">
        <f t="shared" si="95"/>
        <v/>
      </c>
      <c r="M572" s="19" t="str">
        <f t="shared" si="96"/>
        <v/>
      </c>
    </row>
    <row r="573" spans="1:13" x14ac:dyDescent="0.25">
      <c r="A573" s="3" t="str">
        <f>IF(B573&lt;&gt;"",563,"")</f>
        <v/>
      </c>
      <c r="B573" s="18" t="str">
        <f t="shared" si="97"/>
        <v/>
      </c>
      <c r="C573" s="18" t="str">
        <f t="shared" si="89"/>
        <v/>
      </c>
      <c r="D573" s="18" t="str">
        <f t="shared" si="90"/>
        <v/>
      </c>
      <c r="E573" s="18" t="str">
        <f t="shared" si="91"/>
        <v/>
      </c>
      <c r="F573" s="19" t="str">
        <f t="shared" si="92"/>
        <v/>
      </c>
      <c r="H573" s="3" t="str">
        <f t="shared" si="99"/>
        <v/>
      </c>
      <c r="I573" s="18" t="str">
        <f t="shared" si="98"/>
        <v/>
      </c>
      <c r="J573" s="18" t="str">
        <f t="shared" si="93"/>
        <v/>
      </c>
      <c r="K573" s="18" t="str">
        <f t="shared" si="94"/>
        <v/>
      </c>
      <c r="L573" s="18" t="str">
        <f t="shared" si="95"/>
        <v/>
      </c>
      <c r="M573" s="19" t="str">
        <f t="shared" si="96"/>
        <v/>
      </c>
    </row>
    <row r="574" spans="1:13" x14ac:dyDescent="0.25">
      <c r="A574" s="3" t="str">
        <f>IF(B574&lt;&gt;"",564,"")</f>
        <v/>
      </c>
      <c r="B574" s="18" t="str">
        <f t="shared" si="97"/>
        <v/>
      </c>
      <c r="C574" s="18" t="str">
        <f t="shared" si="89"/>
        <v/>
      </c>
      <c r="D574" s="18" t="str">
        <f t="shared" si="90"/>
        <v/>
      </c>
      <c r="E574" s="18" t="str">
        <f t="shared" si="91"/>
        <v/>
      </c>
      <c r="F574" s="19" t="str">
        <f t="shared" si="92"/>
        <v/>
      </c>
      <c r="H574" s="3" t="str">
        <f t="shared" si="99"/>
        <v/>
      </c>
      <c r="I574" s="18" t="str">
        <f t="shared" si="98"/>
        <v/>
      </c>
      <c r="J574" s="18" t="str">
        <f t="shared" si="93"/>
        <v/>
      </c>
      <c r="K574" s="18" t="str">
        <f t="shared" si="94"/>
        <v/>
      </c>
      <c r="L574" s="18" t="str">
        <f t="shared" si="95"/>
        <v/>
      </c>
      <c r="M574" s="19" t="str">
        <f t="shared" si="96"/>
        <v/>
      </c>
    </row>
    <row r="575" spans="1:13" x14ac:dyDescent="0.25">
      <c r="A575" s="3" t="str">
        <f>IF(B575&lt;&gt;"",565,"")</f>
        <v/>
      </c>
      <c r="B575" s="18" t="str">
        <f t="shared" si="97"/>
        <v/>
      </c>
      <c r="C575" s="18" t="str">
        <f t="shared" si="89"/>
        <v/>
      </c>
      <c r="D575" s="18" t="str">
        <f t="shared" si="90"/>
        <v/>
      </c>
      <c r="E575" s="18" t="str">
        <f t="shared" si="91"/>
        <v/>
      </c>
      <c r="F575" s="19" t="str">
        <f t="shared" si="92"/>
        <v/>
      </c>
      <c r="H575" s="3" t="str">
        <f t="shared" si="99"/>
        <v/>
      </c>
      <c r="I575" s="18" t="str">
        <f t="shared" si="98"/>
        <v/>
      </c>
      <c r="J575" s="18" t="str">
        <f t="shared" si="93"/>
        <v/>
      </c>
      <c r="K575" s="18" t="str">
        <f t="shared" si="94"/>
        <v/>
      </c>
      <c r="L575" s="18" t="str">
        <f t="shared" si="95"/>
        <v/>
      </c>
      <c r="M575" s="19" t="str">
        <f t="shared" si="96"/>
        <v/>
      </c>
    </row>
    <row r="576" spans="1:13" x14ac:dyDescent="0.25">
      <c r="A576" s="3" t="str">
        <f>IF(B576&lt;&gt;"",566,"")</f>
        <v/>
      </c>
      <c r="B576" s="18" t="str">
        <f t="shared" si="97"/>
        <v/>
      </c>
      <c r="C576" s="18" t="str">
        <f t="shared" si="89"/>
        <v/>
      </c>
      <c r="D576" s="18" t="str">
        <f t="shared" si="90"/>
        <v/>
      </c>
      <c r="E576" s="18" t="str">
        <f t="shared" si="91"/>
        <v/>
      </c>
      <c r="F576" s="19" t="str">
        <f t="shared" si="92"/>
        <v/>
      </c>
      <c r="H576" s="3" t="str">
        <f t="shared" si="99"/>
        <v/>
      </c>
      <c r="I576" s="18" t="str">
        <f t="shared" si="98"/>
        <v/>
      </c>
      <c r="J576" s="18" t="str">
        <f t="shared" si="93"/>
        <v/>
      </c>
      <c r="K576" s="18" t="str">
        <f t="shared" si="94"/>
        <v/>
      </c>
      <c r="L576" s="18" t="str">
        <f t="shared" si="95"/>
        <v/>
      </c>
      <c r="M576" s="19" t="str">
        <f t="shared" si="96"/>
        <v/>
      </c>
    </row>
    <row r="577" spans="1:13" x14ac:dyDescent="0.25">
      <c r="A577" s="3" t="str">
        <f>IF(B577&lt;&gt;"",567,"")</f>
        <v/>
      </c>
      <c r="B577" s="18" t="str">
        <f t="shared" si="97"/>
        <v/>
      </c>
      <c r="C577" s="18" t="str">
        <f t="shared" si="89"/>
        <v/>
      </c>
      <c r="D577" s="18" t="str">
        <f t="shared" si="90"/>
        <v/>
      </c>
      <c r="E577" s="18" t="str">
        <f t="shared" si="91"/>
        <v/>
      </c>
      <c r="F577" s="19" t="str">
        <f t="shared" si="92"/>
        <v/>
      </c>
      <c r="H577" s="3" t="str">
        <f t="shared" si="99"/>
        <v/>
      </c>
      <c r="I577" s="18" t="str">
        <f t="shared" si="98"/>
        <v/>
      </c>
      <c r="J577" s="18" t="str">
        <f t="shared" si="93"/>
        <v/>
      </c>
      <c r="K577" s="18" t="str">
        <f t="shared" si="94"/>
        <v/>
      </c>
      <c r="L577" s="18" t="str">
        <f t="shared" si="95"/>
        <v/>
      </c>
      <c r="M577" s="19" t="str">
        <f t="shared" si="96"/>
        <v/>
      </c>
    </row>
    <row r="578" spans="1:13" x14ac:dyDescent="0.25">
      <c r="A578" s="3" t="str">
        <f>IF(B578&lt;&gt;"",568,"")</f>
        <v/>
      </c>
      <c r="B578" s="18" t="str">
        <f t="shared" si="97"/>
        <v/>
      </c>
      <c r="C578" s="18" t="str">
        <f t="shared" si="89"/>
        <v/>
      </c>
      <c r="D578" s="18" t="str">
        <f t="shared" si="90"/>
        <v/>
      </c>
      <c r="E578" s="18" t="str">
        <f t="shared" si="91"/>
        <v/>
      </c>
      <c r="F578" s="19" t="str">
        <f t="shared" si="92"/>
        <v/>
      </c>
      <c r="H578" s="3" t="str">
        <f t="shared" si="99"/>
        <v/>
      </c>
      <c r="I578" s="18" t="str">
        <f t="shared" si="98"/>
        <v/>
      </c>
      <c r="J578" s="18" t="str">
        <f t="shared" si="93"/>
        <v/>
      </c>
      <c r="K578" s="18" t="str">
        <f t="shared" si="94"/>
        <v/>
      </c>
      <c r="L578" s="18" t="str">
        <f t="shared" si="95"/>
        <v/>
      </c>
      <c r="M578" s="19" t="str">
        <f t="shared" si="96"/>
        <v/>
      </c>
    </row>
    <row r="579" spans="1:13" x14ac:dyDescent="0.25">
      <c r="A579" s="3" t="str">
        <f>IF(B579&lt;&gt;"",569,"")</f>
        <v/>
      </c>
      <c r="B579" s="18" t="str">
        <f t="shared" si="97"/>
        <v/>
      </c>
      <c r="C579" s="18" t="str">
        <f t="shared" si="89"/>
        <v/>
      </c>
      <c r="D579" s="18" t="str">
        <f t="shared" si="90"/>
        <v/>
      </c>
      <c r="E579" s="18" t="str">
        <f t="shared" si="91"/>
        <v/>
      </c>
      <c r="F579" s="19" t="str">
        <f t="shared" si="92"/>
        <v/>
      </c>
      <c r="H579" s="3" t="str">
        <f t="shared" si="99"/>
        <v/>
      </c>
      <c r="I579" s="18" t="str">
        <f t="shared" si="98"/>
        <v/>
      </c>
      <c r="J579" s="18" t="str">
        <f t="shared" si="93"/>
        <v/>
      </c>
      <c r="K579" s="18" t="str">
        <f t="shared" si="94"/>
        <v/>
      </c>
      <c r="L579" s="18" t="str">
        <f t="shared" si="95"/>
        <v/>
      </c>
      <c r="M579" s="19" t="str">
        <f t="shared" si="96"/>
        <v/>
      </c>
    </row>
    <row r="580" spans="1:13" x14ac:dyDescent="0.25">
      <c r="A580" s="3" t="str">
        <f>IF(B580&lt;&gt;"",570,"")</f>
        <v/>
      </c>
      <c r="B580" s="18" t="str">
        <f t="shared" si="97"/>
        <v/>
      </c>
      <c r="C580" s="18" t="str">
        <f t="shared" si="89"/>
        <v/>
      </c>
      <c r="D580" s="18" t="str">
        <f t="shared" si="90"/>
        <v/>
      </c>
      <c r="E580" s="18" t="str">
        <f t="shared" si="91"/>
        <v/>
      </c>
      <c r="F580" s="19" t="str">
        <f t="shared" si="92"/>
        <v/>
      </c>
      <c r="H580" s="3" t="str">
        <f t="shared" si="99"/>
        <v/>
      </c>
      <c r="I580" s="18" t="str">
        <f t="shared" si="98"/>
        <v/>
      </c>
      <c r="J580" s="18" t="str">
        <f t="shared" si="93"/>
        <v/>
      </c>
      <c r="K580" s="18" t="str">
        <f t="shared" si="94"/>
        <v/>
      </c>
      <c r="L580" s="18" t="str">
        <f t="shared" si="95"/>
        <v/>
      </c>
      <c r="M580" s="19" t="str">
        <f t="shared" si="96"/>
        <v/>
      </c>
    </row>
    <row r="581" spans="1:13" x14ac:dyDescent="0.25">
      <c r="A581" s="3" t="str">
        <f>IF(B581&lt;&gt;"",571,"")</f>
        <v/>
      </c>
      <c r="B581" s="18" t="str">
        <f t="shared" si="97"/>
        <v/>
      </c>
      <c r="C581" s="18" t="str">
        <f t="shared" si="89"/>
        <v/>
      </c>
      <c r="D581" s="18" t="str">
        <f t="shared" si="90"/>
        <v/>
      </c>
      <c r="E581" s="18" t="str">
        <f t="shared" si="91"/>
        <v/>
      </c>
      <c r="F581" s="19" t="str">
        <f t="shared" si="92"/>
        <v/>
      </c>
      <c r="H581" s="3" t="str">
        <f t="shared" si="99"/>
        <v/>
      </c>
      <c r="I581" s="18" t="str">
        <f t="shared" si="98"/>
        <v/>
      </c>
      <c r="J581" s="18" t="str">
        <f t="shared" si="93"/>
        <v/>
      </c>
      <c r="K581" s="18" t="str">
        <f t="shared" si="94"/>
        <v/>
      </c>
      <c r="L581" s="18" t="str">
        <f t="shared" si="95"/>
        <v/>
      </c>
      <c r="M581" s="19" t="str">
        <f t="shared" si="96"/>
        <v/>
      </c>
    </row>
    <row r="582" spans="1:13" x14ac:dyDescent="0.25">
      <c r="A582" s="3" t="str">
        <f>IF(B582&lt;&gt;"",572,"")</f>
        <v/>
      </c>
      <c r="B582" s="18" t="str">
        <f t="shared" si="97"/>
        <v/>
      </c>
      <c r="C582" s="18" t="str">
        <f t="shared" si="89"/>
        <v/>
      </c>
      <c r="D582" s="18" t="str">
        <f t="shared" si="90"/>
        <v/>
      </c>
      <c r="E582" s="18" t="str">
        <f t="shared" si="91"/>
        <v/>
      </c>
      <c r="F582" s="19" t="str">
        <f t="shared" si="92"/>
        <v/>
      </c>
      <c r="H582" s="3" t="str">
        <f t="shared" si="99"/>
        <v/>
      </c>
      <c r="I582" s="18" t="str">
        <f t="shared" si="98"/>
        <v/>
      </c>
      <c r="J582" s="18" t="str">
        <f t="shared" si="93"/>
        <v/>
      </c>
      <c r="K582" s="18" t="str">
        <f t="shared" si="94"/>
        <v/>
      </c>
      <c r="L582" s="18" t="str">
        <f t="shared" si="95"/>
        <v/>
      </c>
      <c r="M582" s="19" t="str">
        <f t="shared" si="96"/>
        <v/>
      </c>
    </row>
    <row r="583" spans="1:13" x14ac:dyDescent="0.25">
      <c r="A583" s="3" t="str">
        <f>IF(B583&lt;&gt;"",573,"")</f>
        <v/>
      </c>
      <c r="B583" s="18" t="str">
        <f t="shared" si="97"/>
        <v/>
      </c>
      <c r="C583" s="18" t="str">
        <f t="shared" si="89"/>
        <v/>
      </c>
      <c r="D583" s="18" t="str">
        <f t="shared" si="90"/>
        <v/>
      </c>
      <c r="E583" s="18" t="str">
        <f t="shared" si="91"/>
        <v/>
      </c>
      <c r="F583" s="19" t="str">
        <f t="shared" si="92"/>
        <v/>
      </c>
      <c r="H583" s="3" t="str">
        <f t="shared" si="99"/>
        <v/>
      </c>
      <c r="I583" s="18" t="str">
        <f t="shared" si="98"/>
        <v/>
      </c>
      <c r="J583" s="18" t="str">
        <f t="shared" si="93"/>
        <v/>
      </c>
      <c r="K583" s="18" t="str">
        <f t="shared" si="94"/>
        <v/>
      </c>
      <c r="L583" s="18" t="str">
        <f t="shared" si="95"/>
        <v/>
      </c>
      <c r="M583" s="19" t="str">
        <f t="shared" si="96"/>
        <v/>
      </c>
    </row>
    <row r="584" spans="1:13" x14ac:dyDescent="0.25">
      <c r="A584" s="3" t="str">
        <f>IF(B584&lt;&gt;"",574,"")</f>
        <v/>
      </c>
      <c r="B584" s="18" t="str">
        <f t="shared" si="97"/>
        <v/>
      </c>
      <c r="C584" s="18" t="str">
        <f t="shared" si="89"/>
        <v/>
      </c>
      <c r="D584" s="18" t="str">
        <f t="shared" si="90"/>
        <v/>
      </c>
      <c r="E584" s="18" t="str">
        <f t="shared" si="91"/>
        <v/>
      </c>
      <c r="F584" s="19" t="str">
        <f t="shared" si="92"/>
        <v/>
      </c>
      <c r="H584" s="3" t="str">
        <f t="shared" si="99"/>
        <v/>
      </c>
      <c r="I584" s="18" t="str">
        <f t="shared" si="98"/>
        <v/>
      </c>
      <c r="J584" s="18" t="str">
        <f t="shared" si="93"/>
        <v/>
      </c>
      <c r="K584" s="18" t="str">
        <f t="shared" si="94"/>
        <v/>
      </c>
      <c r="L584" s="18" t="str">
        <f t="shared" si="95"/>
        <v/>
      </c>
      <c r="M584" s="19" t="str">
        <f t="shared" si="96"/>
        <v/>
      </c>
    </row>
    <row r="585" spans="1:13" x14ac:dyDescent="0.25">
      <c r="A585" s="3" t="str">
        <f>IF(B585&lt;&gt;"",575,"")</f>
        <v/>
      </c>
      <c r="B585" s="18" t="str">
        <f t="shared" si="97"/>
        <v/>
      </c>
      <c r="C585" s="18" t="str">
        <f t="shared" si="89"/>
        <v/>
      </c>
      <c r="D585" s="18" t="str">
        <f t="shared" si="90"/>
        <v/>
      </c>
      <c r="E585" s="18" t="str">
        <f t="shared" si="91"/>
        <v/>
      </c>
      <c r="F585" s="19" t="str">
        <f t="shared" si="92"/>
        <v/>
      </c>
      <c r="H585" s="3" t="str">
        <f t="shared" si="99"/>
        <v/>
      </c>
      <c r="I585" s="18" t="str">
        <f t="shared" si="98"/>
        <v/>
      </c>
      <c r="J585" s="18" t="str">
        <f t="shared" si="93"/>
        <v/>
      </c>
      <c r="K585" s="18" t="str">
        <f t="shared" si="94"/>
        <v/>
      </c>
      <c r="L585" s="18" t="str">
        <f t="shared" si="95"/>
        <v/>
      </c>
      <c r="M585" s="19" t="str">
        <f t="shared" si="96"/>
        <v/>
      </c>
    </row>
    <row r="586" spans="1:13" x14ac:dyDescent="0.25">
      <c r="A586" s="3" t="str">
        <f>IF(B586&lt;&gt;"",576,"")</f>
        <v/>
      </c>
      <c r="B586" s="18" t="str">
        <f t="shared" si="97"/>
        <v/>
      </c>
      <c r="C586" s="18" t="str">
        <f t="shared" si="89"/>
        <v/>
      </c>
      <c r="D586" s="18" t="str">
        <f t="shared" si="90"/>
        <v/>
      </c>
      <c r="E586" s="18" t="str">
        <f t="shared" si="91"/>
        <v/>
      </c>
      <c r="F586" s="19" t="str">
        <f t="shared" si="92"/>
        <v/>
      </c>
      <c r="H586" s="3" t="str">
        <f t="shared" si="99"/>
        <v/>
      </c>
      <c r="I586" s="18" t="str">
        <f t="shared" si="98"/>
        <v/>
      </c>
      <c r="J586" s="18" t="str">
        <f t="shared" si="93"/>
        <v/>
      </c>
      <c r="K586" s="18" t="str">
        <f t="shared" si="94"/>
        <v/>
      </c>
      <c r="L586" s="18" t="str">
        <f t="shared" si="95"/>
        <v/>
      </c>
      <c r="M586" s="19" t="str">
        <f t="shared" si="96"/>
        <v/>
      </c>
    </row>
    <row r="587" spans="1:13" x14ac:dyDescent="0.25">
      <c r="A587" s="3" t="str">
        <f>IF(B587&lt;&gt;"",577,"")</f>
        <v/>
      </c>
      <c r="B587" s="18" t="str">
        <f t="shared" si="97"/>
        <v/>
      </c>
      <c r="C587" s="18" t="str">
        <f t="shared" si="89"/>
        <v/>
      </c>
      <c r="D587" s="18" t="str">
        <f t="shared" si="90"/>
        <v/>
      </c>
      <c r="E587" s="18" t="str">
        <f t="shared" si="91"/>
        <v/>
      </c>
      <c r="F587" s="19" t="str">
        <f t="shared" si="92"/>
        <v/>
      </c>
      <c r="H587" s="3" t="str">
        <f t="shared" si="99"/>
        <v/>
      </c>
      <c r="I587" s="18" t="str">
        <f t="shared" si="98"/>
        <v/>
      </c>
      <c r="J587" s="18" t="str">
        <f t="shared" si="93"/>
        <v/>
      </c>
      <c r="K587" s="18" t="str">
        <f t="shared" si="94"/>
        <v/>
      </c>
      <c r="L587" s="18" t="str">
        <f t="shared" si="95"/>
        <v/>
      </c>
      <c r="M587" s="19" t="str">
        <f t="shared" si="96"/>
        <v/>
      </c>
    </row>
    <row r="588" spans="1:13" x14ac:dyDescent="0.25">
      <c r="A588" s="3" t="str">
        <f>IF(B588&lt;&gt;"",578,"")</f>
        <v/>
      </c>
      <c r="B588" s="18" t="str">
        <f t="shared" si="97"/>
        <v/>
      </c>
      <c r="C588" s="18" t="str">
        <f t="shared" ref="C588:C610" si="100">IFERROR(B588*$G$4/12,"")</f>
        <v/>
      </c>
      <c r="D588" s="18" t="str">
        <f t="shared" ref="D588:D610" si="101">IF(A588&lt;&gt;"",$G$3/$G$5,"")</f>
        <v/>
      </c>
      <c r="E588" s="18" t="str">
        <f t="shared" ref="E588:E610" si="102">IF(A588&lt;&gt;"",B588-D588,"")</f>
        <v/>
      </c>
      <c r="F588" s="19" t="str">
        <f t="shared" ref="F588:F610" si="103">IF(A588&lt;&gt;"",C588+D588,"")</f>
        <v/>
      </c>
      <c r="H588" s="3" t="str">
        <f t="shared" si="99"/>
        <v/>
      </c>
      <c r="I588" s="18" t="str">
        <f t="shared" si="98"/>
        <v/>
      </c>
      <c r="J588" s="18" t="str">
        <f t="shared" ref="J588:J610" si="104">IFERROR(I588*$G$4/12,"")</f>
        <v/>
      </c>
      <c r="K588" s="18" t="str">
        <f t="shared" ref="K588:K610" si="105">IFERROR(M588-J588,"")</f>
        <v/>
      </c>
      <c r="L588" s="18" t="str">
        <f t="shared" ref="L588:L610" si="106">IFERROR(I588-K588,"")</f>
        <v/>
      </c>
      <c r="M588" s="19" t="str">
        <f t="shared" ref="M588:M610" si="107">IF(H588&lt;&gt;"",-PMT($G$4/12,$G$5,$G$3),"")</f>
        <v/>
      </c>
    </row>
    <row r="589" spans="1:13" x14ac:dyDescent="0.25">
      <c r="A589" s="3" t="str">
        <f>IF(B589&lt;&gt;"",579,"")</f>
        <v/>
      </c>
      <c r="B589" s="18" t="str">
        <f t="shared" ref="B589:B610" si="108">IFERROR(IF(B588-D588&gt;=0.01,B588-D588,""),"")</f>
        <v/>
      </c>
      <c r="C589" s="18" t="str">
        <f t="shared" si="100"/>
        <v/>
      </c>
      <c r="D589" s="18" t="str">
        <f t="shared" si="101"/>
        <v/>
      </c>
      <c r="E589" s="18" t="str">
        <f t="shared" si="102"/>
        <v/>
      </c>
      <c r="F589" s="19" t="str">
        <f t="shared" si="103"/>
        <v/>
      </c>
      <c r="H589" s="3" t="str">
        <f t="shared" si="99"/>
        <v/>
      </c>
      <c r="I589" s="18" t="str">
        <f t="shared" ref="I589:I610" si="109">IFERROR(IF(I588-K588&gt;=0.01,I588-K588,""),"")</f>
        <v/>
      </c>
      <c r="J589" s="18" t="str">
        <f t="shared" si="104"/>
        <v/>
      </c>
      <c r="K589" s="18" t="str">
        <f t="shared" si="105"/>
        <v/>
      </c>
      <c r="L589" s="18" t="str">
        <f t="shared" si="106"/>
        <v/>
      </c>
      <c r="M589" s="19" t="str">
        <f t="shared" si="107"/>
        <v/>
      </c>
    </row>
    <row r="590" spans="1:13" x14ac:dyDescent="0.25">
      <c r="A590" s="3" t="str">
        <f>IF(B590&lt;&gt;"",580,"")</f>
        <v/>
      </c>
      <c r="B590" s="18" t="str">
        <f t="shared" si="108"/>
        <v/>
      </c>
      <c r="C590" s="18" t="str">
        <f t="shared" si="100"/>
        <v/>
      </c>
      <c r="D590" s="18" t="str">
        <f t="shared" si="101"/>
        <v/>
      </c>
      <c r="E590" s="18" t="str">
        <f t="shared" si="102"/>
        <v/>
      </c>
      <c r="F590" s="19" t="str">
        <f t="shared" si="103"/>
        <v/>
      </c>
      <c r="H590" s="3" t="str">
        <f t="shared" si="99"/>
        <v/>
      </c>
      <c r="I590" s="18" t="str">
        <f t="shared" si="109"/>
        <v/>
      </c>
      <c r="J590" s="18" t="str">
        <f t="shared" si="104"/>
        <v/>
      </c>
      <c r="K590" s="18" t="str">
        <f t="shared" si="105"/>
        <v/>
      </c>
      <c r="L590" s="18" t="str">
        <f t="shared" si="106"/>
        <v/>
      </c>
      <c r="M590" s="19" t="str">
        <f t="shared" si="107"/>
        <v/>
      </c>
    </row>
    <row r="591" spans="1:13" x14ac:dyDescent="0.25">
      <c r="A591" s="3" t="str">
        <f>IF(B591&lt;&gt;"",581,"")</f>
        <v/>
      </c>
      <c r="B591" s="18" t="str">
        <f t="shared" si="108"/>
        <v/>
      </c>
      <c r="C591" s="18" t="str">
        <f t="shared" si="100"/>
        <v/>
      </c>
      <c r="D591" s="18" t="str">
        <f t="shared" si="101"/>
        <v/>
      </c>
      <c r="E591" s="18" t="str">
        <f t="shared" si="102"/>
        <v/>
      </c>
      <c r="F591" s="19" t="str">
        <f t="shared" si="103"/>
        <v/>
      </c>
      <c r="H591" s="3" t="str">
        <f t="shared" si="99"/>
        <v/>
      </c>
      <c r="I591" s="18" t="str">
        <f t="shared" si="109"/>
        <v/>
      </c>
      <c r="J591" s="18" t="str">
        <f t="shared" si="104"/>
        <v/>
      </c>
      <c r="K591" s="18" t="str">
        <f t="shared" si="105"/>
        <v/>
      </c>
      <c r="L591" s="18" t="str">
        <f t="shared" si="106"/>
        <v/>
      </c>
      <c r="M591" s="19" t="str">
        <f t="shared" si="107"/>
        <v/>
      </c>
    </row>
    <row r="592" spans="1:13" x14ac:dyDescent="0.25">
      <c r="A592" s="3" t="str">
        <f>IF(B592&lt;&gt;"",582,"")</f>
        <v/>
      </c>
      <c r="B592" s="18" t="str">
        <f t="shared" si="108"/>
        <v/>
      </c>
      <c r="C592" s="18" t="str">
        <f t="shared" si="100"/>
        <v/>
      </c>
      <c r="D592" s="18" t="str">
        <f t="shared" si="101"/>
        <v/>
      </c>
      <c r="E592" s="18" t="str">
        <f t="shared" si="102"/>
        <v/>
      </c>
      <c r="F592" s="19" t="str">
        <f t="shared" si="103"/>
        <v/>
      </c>
      <c r="H592" s="3" t="str">
        <f t="shared" si="99"/>
        <v/>
      </c>
      <c r="I592" s="18" t="str">
        <f t="shared" si="109"/>
        <v/>
      </c>
      <c r="J592" s="18" t="str">
        <f t="shared" si="104"/>
        <v/>
      </c>
      <c r="K592" s="18" t="str">
        <f t="shared" si="105"/>
        <v/>
      </c>
      <c r="L592" s="18" t="str">
        <f t="shared" si="106"/>
        <v/>
      </c>
      <c r="M592" s="19" t="str">
        <f t="shared" si="107"/>
        <v/>
      </c>
    </row>
    <row r="593" spans="1:13" x14ac:dyDescent="0.25">
      <c r="A593" s="3" t="str">
        <f>IF(B593&lt;&gt;"",583,"")</f>
        <v/>
      </c>
      <c r="B593" s="18" t="str">
        <f t="shared" si="108"/>
        <v/>
      </c>
      <c r="C593" s="18" t="str">
        <f t="shared" si="100"/>
        <v/>
      </c>
      <c r="D593" s="18" t="str">
        <f t="shared" si="101"/>
        <v/>
      </c>
      <c r="E593" s="18" t="str">
        <f t="shared" si="102"/>
        <v/>
      </c>
      <c r="F593" s="19" t="str">
        <f t="shared" si="103"/>
        <v/>
      </c>
      <c r="H593" s="3" t="str">
        <f t="shared" si="99"/>
        <v/>
      </c>
      <c r="I593" s="18" t="str">
        <f t="shared" si="109"/>
        <v/>
      </c>
      <c r="J593" s="18" t="str">
        <f t="shared" si="104"/>
        <v/>
      </c>
      <c r="K593" s="18" t="str">
        <f t="shared" si="105"/>
        <v/>
      </c>
      <c r="L593" s="18" t="str">
        <f t="shared" si="106"/>
        <v/>
      </c>
      <c r="M593" s="19" t="str">
        <f t="shared" si="107"/>
        <v/>
      </c>
    </row>
    <row r="594" spans="1:13" x14ac:dyDescent="0.25">
      <c r="A594" s="3" t="str">
        <f>IF(B594&lt;&gt;"",584,"")</f>
        <v/>
      </c>
      <c r="B594" s="18" t="str">
        <f t="shared" si="108"/>
        <v/>
      </c>
      <c r="C594" s="18" t="str">
        <f t="shared" si="100"/>
        <v/>
      </c>
      <c r="D594" s="18" t="str">
        <f t="shared" si="101"/>
        <v/>
      </c>
      <c r="E594" s="18" t="str">
        <f t="shared" si="102"/>
        <v/>
      </c>
      <c r="F594" s="19" t="str">
        <f t="shared" si="103"/>
        <v/>
      </c>
      <c r="H594" s="3" t="str">
        <f t="shared" si="99"/>
        <v/>
      </c>
      <c r="I594" s="18" t="str">
        <f t="shared" si="109"/>
        <v/>
      </c>
      <c r="J594" s="18" t="str">
        <f t="shared" si="104"/>
        <v/>
      </c>
      <c r="K594" s="18" t="str">
        <f t="shared" si="105"/>
        <v/>
      </c>
      <c r="L594" s="18" t="str">
        <f t="shared" si="106"/>
        <v/>
      </c>
      <c r="M594" s="19" t="str">
        <f t="shared" si="107"/>
        <v/>
      </c>
    </row>
    <row r="595" spans="1:13" x14ac:dyDescent="0.25">
      <c r="A595" s="3" t="str">
        <f>IF(B595&lt;&gt;"",585,"")</f>
        <v/>
      </c>
      <c r="B595" s="18" t="str">
        <f t="shared" si="108"/>
        <v/>
      </c>
      <c r="C595" s="18" t="str">
        <f t="shared" si="100"/>
        <v/>
      </c>
      <c r="D595" s="18" t="str">
        <f t="shared" si="101"/>
        <v/>
      </c>
      <c r="E595" s="18" t="str">
        <f t="shared" si="102"/>
        <v/>
      </c>
      <c r="F595" s="19" t="str">
        <f t="shared" si="103"/>
        <v/>
      </c>
      <c r="H595" s="3" t="str">
        <f t="shared" si="99"/>
        <v/>
      </c>
      <c r="I595" s="18" t="str">
        <f t="shared" si="109"/>
        <v/>
      </c>
      <c r="J595" s="18" t="str">
        <f t="shared" si="104"/>
        <v/>
      </c>
      <c r="K595" s="18" t="str">
        <f t="shared" si="105"/>
        <v/>
      </c>
      <c r="L595" s="18" t="str">
        <f t="shared" si="106"/>
        <v/>
      </c>
      <c r="M595" s="19" t="str">
        <f t="shared" si="107"/>
        <v/>
      </c>
    </row>
    <row r="596" spans="1:13" x14ac:dyDescent="0.25">
      <c r="A596" s="3" t="str">
        <f>IF(B596&lt;&gt;"",586,"")</f>
        <v/>
      </c>
      <c r="B596" s="18" t="str">
        <f t="shared" si="108"/>
        <v/>
      </c>
      <c r="C596" s="18" t="str">
        <f t="shared" si="100"/>
        <v/>
      </c>
      <c r="D596" s="18" t="str">
        <f t="shared" si="101"/>
        <v/>
      </c>
      <c r="E596" s="18" t="str">
        <f t="shared" si="102"/>
        <v/>
      </c>
      <c r="F596" s="19" t="str">
        <f t="shared" si="103"/>
        <v/>
      </c>
      <c r="H596" s="3" t="str">
        <f t="shared" si="99"/>
        <v/>
      </c>
      <c r="I596" s="18" t="str">
        <f t="shared" si="109"/>
        <v/>
      </c>
      <c r="J596" s="18" t="str">
        <f t="shared" si="104"/>
        <v/>
      </c>
      <c r="K596" s="18" t="str">
        <f t="shared" si="105"/>
        <v/>
      </c>
      <c r="L596" s="18" t="str">
        <f t="shared" si="106"/>
        <v/>
      </c>
      <c r="M596" s="19" t="str">
        <f t="shared" si="107"/>
        <v/>
      </c>
    </row>
    <row r="597" spans="1:13" x14ac:dyDescent="0.25">
      <c r="A597" s="3" t="str">
        <f>IF(B597&lt;&gt;"",587,"")</f>
        <v/>
      </c>
      <c r="B597" s="18" t="str">
        <f t="shared" si="108"/>
        <v/>
      </c>
      <c r="C597" s="18" t="str">
        <f t="shared" si="100"/>
        <v/>
      </c>
      <c r="D597" s="18" t="str">
        <f t="shared" si="101"/>
        <v/>
      </c>
      <c r="E597" s="18" t="str">
        <f t="shared" si="102"/>
        <v/>
      </c>
      <c r="F597" s="19" t="str">
        <f t="shared" si="103"/>
        <v/>
      </c>
      <c r="H597" s="3" t="str">
        <f t="shared" si="99"/>
        <v/>
      </c>
      <c r="I597" s="18" t="str">
        <f t="shared" si="109"/>
        <v/>
      </c>
      <c r="J597" s="18" t="str">
        <f t="shared" si="104"/>
        <v/>
      </c>
      <c r="K597" s="18" t="str">
        <f t="shared" si="105"/>
        <v/>
      </c>
      <c r="L597" s="18" t="str">
        <f t="shared" si="106"/>
        <v/>
      </c>
      <c r="M597" s="19" t="str">
        <f t="shared" si="107"/>
        <v/>
      </c>
    </row>
    <row r="598" spans="1:13" x14ac:dyDescent="0.25">
      <c r="A598" s="3" t="str">
        <f>IF(B598&lt;&gt;"",588,"")</f>
        <v/>
      </c>
      <c r="B598" s="18" t="str">
        <f t="shared" si="108"/>
        <v/>
      </c>
      <c r="C598" s="18" t="str">
        <f t="shared" si="100"/>
        <v/>
      </c>
      <c r="D598" s="18" t="str">
        <f t="shared" si="101"/>
        <v/>
      </c>
      <c r="E598" s="18" t="str">
        <f t="shared" si="102"/>
        <v/>
      </c>
      <c r="F598" s="19" t="str">
        <f t="shared" si="103"/>
        <v/>
      </c>
      <c r="H598" s="3" t="str">
        <f t="shared" si="99"/>
        <v/>
      </c>
      <c r="I598" s="18" t="str">
        <f t="shared" si="109"/>
        <v/>
      </c>
      <c r="J598" s="18" t="str">
        <f t="shared" si="104"/>
        <v/>
      </c>
      <c r="K598" s="18" t="str">
        <f t="shared" si="105"/>
        <v/>
      </c>
      <c r="L598" s="18" t="str">
        <f t="shared" si="106"/>
        <v/>
      </c>
      <c r="M598" s="19" t="str">
        <f t="shared" si="107"/>
        <v/>
      </c>
    </row>
    <row r="599" spans="1:13" x14ac:dyDescent="0.25">
      <c r="A599" s="3" t="str">
        <f>IF(B599&lt;&gt;"",589,"")</f>
        <v/>
      </c>
      <c r="B599" s="18" t="str">
        <f t="shared" si="108"/>
        <v/>
      </c>
      <c r="C599" s="18" t="str">
        <f t="shared" si="100"/>
        <v/>
      </c>
      <c r="D599" s="18" t="str">
        <f t="shared" si="101"/>
        <v/>
      </c>
      <c r="E599" s="18" t="str">
        <f t="shared" si="102"/>
        <v/>
      </c>
      <c r="F599" s="19" t="str">
        <f t="shared" si="103"/>
        <v/>
      </c>
      <c r="H599" s="3" t="str">
        <f t="shared" si="99"/>
        <v/>
      </c>
      <c r="I599" s="18" t="str">
        <f t="shared" si="109"/>
        <v/>
      </c>
      <c r="J599" s="18" t="str">
        <f t="shared" si="104"/>
        <v/>
      </c>
      <c r="K599" s="18" t="str">
        <f t="shared" si="105"/>
        <v/>
      </c>
      <c r="L599" s="18" t="str">
        <f t="shared" si="106"/>
        <v/>
      </c>
      <c r="M599" s="19" t="str">
        <f t="shared" si="107"/>
        <v/>
      </c>
    </row>
    <row r="600" spans="1:13" x14ac:dyDescent="0.25">
      <c r="A600" s="3" t="str">
        <f>IF(B600&lt;&gt;"",590,"")</f>
        <v/>
      </c>
      <c r="B600" s="18" t="str">
        <f t="shared" si="108"/>
        <v/>
      </c>
      <c r="C600" s="18" t="str">
        <f t="shared" si="100"/>
        <v/>
      </c>
      <c r="D600" s="18" t="str">
        <f t="shared" si="101"/>
        <v/>
      </c>
      <c r="E600" s="18" t="str">
        <f t="shared" si="102"/>
        <v/>
      </c>
      <c r="F600" s="19" t="str">
        <f t="shared" si="103"/>
        <v/>
      </c>
      <c r="H600" s="3" t="str">
        <f t="shared" si="99"/>
        <v/>
      </c>
      <c r="I600" s="18" t="str">
        <f t="shared" si="109"/>
        <v/>
      </c>
      <c r="J600" s="18" t="str">
        <f t="shared" si="104"/>
        <v/>
      </c>
      <c r="K600" s="18" t="str">
        <f t="shared" si="105"/>
        <v/>
      </c>
      <c r="L600" s="18" t="str">
        <f t="shared" si="106"/>
        <v/>
      </c>
      <c r="M600" s="19" t="str">
        <f t="shared" si="107"/>
        <v/>
      </c>
    </row>
    <row r="601" spans="1:13" x14ac:dyDescent="0.25">
      <c r="A601" s="3" t="str">
        <f>IF(B601&lt;&gt;"",591,"")</f>
        <v/>
      </c>
      <c r="B601" s="18" t="str">
        <f t="shared" si="108"/>
        <v/>
      </c>
      <c r="C601" s="18" t="str">
        <f t="shared" si="100"/>
        <v/>
      </c>
      <c r="D601" s="18" t="str">
        <f t="shared" si="101"/>
        <v/>
      </c>
      <c r="E601" s="18" t="str">
        <f t="shared" si="102"/>
        <v/>
      </c>
      <c r="F601" s="19" t="str">
        <f t="shared" si="103"/>
        <v/>
      </c>
      <c r="H601" s="3" t="str">
        <f t="shared" si="99"/>
        <v/>
      </c>
      <c r="I601" s="18" t="str">
        <f t="shared" si="109"/>
        <v/>
      </c>
      <c r="J601" s="18" t="str">
        <f t="shared" si="104"/>
        <v/>
      </c>
      <c r="K601" s="18" t="str">
        <f t="shared" si="105"/>
        <v/>
      </c>
      <c r="L601" s="18" t="str">
        <f t="shared" si="106"/>
        <v/>
      </c>
      <c r="M601" s="19" t="str">
        <f t="shared" si="107"/>
        <v/>
      </c>
    </row>
    <row r="602" spans="1:13" x14ac:dyDescent="0.25">
      <c r="A602" s="3" t="str">
        <f>IF(B602&lt;&gt;"",592,"")</f>
        <v/>
      </c>
      <c r="B602" s="18" t="str">
        <f t="shared" si="108"/>
        <v/>
      </c>
      <c r="C602" s="18" t="str">
        <f t="shared" si="100"/>
        <v/>
      </c>
      <c r="D602" s="18" t="str">
        <f t="shared" si="101"/>
        <v/>
      </c>
      <c r="E602" s="18" t="str">
        <f t="shared" si="102"/>
        <v/>
      </c>
      <c r="F602" s="19" t="str">
        <f t="shared" si="103"/>
        <v/>
      </c>
      <c r="H602" s="3" t="str">
        <f t="shared" si="99"/>
        <v/>
      </c>
      <c r="I602" s="18" t="str">
        <f t="shared" si="109"/>
        <v/>
      </c>
      <c r="J602" s="18" t="str">
        <f t="shared" si="104"/>
        <v/>
      </c>
      <c r="K602" s="18" t="str">
        <f t="shared" si="105"/>
        <v/>
      </c>
      <c r="L602" s="18" t="str">
        <f t="shared" si="106"/>
        <v/>
      </c>
      <c r="M602" s="19" t="str">
        <f t="shared" si="107"/>
        <v/>
      </c>
    </row>
    <row r="603" spans="1:13" x14ac:dyDescent="0.25">
      <c r="A603" s="3" t="str">
        <f>IF(B603&lt;&gt;"",593,"")</f>
        <v/>
      </c>
      <c r="B603" s="18" t="str">
        <f t="shared" si="108"/>
        <v/>
      </c>
      <c r="C603" s="18" t="str">
        <f t="shared" si="100"/>
        <v/>
      </c>
      <c r="D603" s="18" t="str">
        <f t="shared" si="101"/>
        <v/>
      </c>
      <c r="E603" s="18" t="str">
        <f t="shared" si="102"/>
        <v/>
      </c>
      <c r="F603" s="19" t="str">
        <f t="shared" si="103"/>
        <v/>
      </c>
      <c r="H603" s="3" t="str">
        <f t="shared" si="99"/>
        <v/>
      </c>
      <c r="I603" s="18" t="str">
        <f t="shared" si="109"/>
        <v/>
      </c>
      <c r="J603" s="18" t="str">
        <f t="shared" si="104"/>
        <v/>
      </c>
      <c r="K603" s="18" t="str">
        <f t="shared" si="105"/>
        <v/>
      </c>
      <c r="L603" s="18" t="str">
        <f t="shared" si="106"/>
        <v/>
      </c>
      <c r="M603" s="19" t="str">
        <f t="shared" si="107"/>
        <v/>
      </c>
    </row>
    <row r="604" spans="1:13" x14ac:dyDescent="0.25">
      <c r="A604" s="3" t="str">
        <f>IF(B604&lt;&gt;"",594,"")</f>
        <v/>
      </c>
      <c r="B604" s="18" t="str">
        <f t="shared" si="108"/>
        <v/>
      </c>
      <c r="C604" s="18" t="str">
        <f t="shared" si="100"/>
        <v/>
      </c>
      <c r="D604" s="18" t="str">
        <f t="shared" si="101"/>
        <v/>
      </c>
      <c r="E604" s="18" t="str">
        <f t="shared" si="102"/>
        <v/>
      </c>
      <c r="F604" s="19" t="str">
        <f t="shared" si="103"/>
        <v/>
      </c>
      <c r="H604" s="3" t="str">
        <f t="shared" si="99"/>
        <v/>
      </c>
      <c r="I604" s="18" t="str">
        <f t="shared" si="109"/>
        <v/>
      </c>
      <c r="J604" s="18" t="str">
        <f t="shared" si="104"/>
        <v/>
      </c>
      <c r="K604" s="18" t="str">
        <f t="shared" si="105"/>
        <v/>
      </c>
      <c r="L604" s="18" t="str">
        <f t="shared" si="106"/>
        <v/>
      </c>
      <c r="M604" s="19" t="str">
        <f t="shared" si="107"/>
        <v/>
      </c>
    </row>
    <row r="605" spans="1:13" x14ac:dyDescent="0.25">
      <c r="A605" s="3" t="str">
        <f>IF(B605&lt;&gt;"",595,"")</f>
        <v/>
      </c>
      <c r="B605" s="18" t="str">
        <f t="shared" si="108"/>
        <v/>
      </c>
      <c r="C605" s="18" t="str">
        <f t="shared" si="100"/>
        <v/>
      </c>
      <c r="D605" s="18" t="str">
        <f t="shared" si="101"/>
        <v/>
      </c>
      <c r="E605" s="18" t="str">
        <f t="shared" si="102"/>
        <v/>
      </c>
      <c r="F605" s="19" t="str">
        <f t="shared" si="103"/>
        <v/>
      </c>
      <c r="H605" s="3" t="str">
        <f t="shared" si="99"/>
        <v/>
      </c>
      <c r="I605" s="18" t="str">
        <f t="shared" si="109"/>
        <v/>
      </c>
      <c r="J605" s="18" t="str">
        <f t="shared" si="104"/>
        <v/>
      </c>
      <c r="K605" s="18" t="str">
        <f t="shared" si="105"/>
        <v/>
      </c>
      <c r="L605" s="18" t="str">
        <f t="shared" si="106"/>
        <v/>
      </c>
      <c r="M605" s="19" t="str">
        <f t="shared" si="107"/>
        <v/>
      </c>
    </row>
    <row r="606" spans="1:13" x14ac:dyDescent="0.25">
      <c r="A606" s="3" t="str">
        <f>IF(B606&lt;&gt;"",596,"")</f>
        <v/>
      </c>
      <c r="B606" s="18" t="str">
        <f t="shared" si="108"/>
        <v/>
      </c>
      <c r="C606" s="18" t="str">
        <f t="shared" si="100"/>
        <v/>
      </c>
      <c r="D606" s="18" t="str">
        <f t="shared" si="101"/>
        <v/>
      </c>
      <c r="E606" s="18" t="str">
        <f t="shared" si="102"/>
        <v/>
      </c>
      <c r="F606" s="19" t="str">
        <f t="shared" si="103"/>
        <v/>
      </c>
      <c r="H606" s="3" t="str">
        <f t="shared" si="99"/>
        <v/>
      </c>
      <c r="I606" s="18" t="str">
        <f t="shared" si="109"/>
        <v/>
      </c>
      <c r="J606" s="18" t="str">
        <f t="shared" si="104"/>
        <v/>
      </c>
      <c r="K606" s="18" t="str">
        <f t="shared" si="105"/>
        <v/>
      </c>
      <c r="L606" s="18" t="str">
        <f t="shared" si="106"/>
        <v/>
      </c>
      <c r="M606" s="19" t="str">
        <f t="shared" si="107"/>
        <v/>
      </c>
    </row>
    <row r="607" spans="1:13" x14ac:dyDescent="0.25">
      <c r="A607" s="3" t="str">
        <f>IF(B607&lt;&gt;"",597,"")</f>
        <v/>
      </c>
      <c r="B607" s="18" t="str">
        <f t="shared" si="108"/>
        <v/>
      </c>
      <c r="C607" s="18" t="str">
        <f t="shared" si="100"/>
        <v/>
      </c>
      <c r="D607" s="18" t="str">
        <f t="shared" si="101"/>
        <v/>
      </c>
      <c r="E607" s="18" t="str">
        <f t="shared" si="102"/>
        <v/>
      </c>
      <c r="F607" s="19" t="str">
        <f t="shared" si="103"/>
        <v/>
      </c>
      <c r="H607" s="3" t="str">
        <f t="shared" si="99"/>
        <v/>
      </c>
      <c r="I607" s="18" t="str">
        <f t="shared" si="109"/>
        <v/>
      </c>
      <c r="J607" s="18" t="str">
        <f t="shared" si="104"/>
        <v/>
      </c>
      <c r="K607" s="18" t="str">
        <f t="shared" si="105"/>
        <v/>
      </c>
      <c r="L607" s="18" t="str">
        <f t="shared" si="106"/>
        <v/>
      </c>
      <c r="M607" s="19" t="str">
        <f t="shared" si="107"/>
        <v/>
      </c>
    </row>
    <row r="608" spans="1:13" x14ac:dyDescent="0.25">
      <c r="A608" s="3" t="str">
        <f>IF(B608&lt;&gt;"",598,"")</f>
        <v/>
      </c>
      <c r="B608" s="18" t="str">
        <f t="shared" si="108"/>
        <v/>
      </c>
      <c r="C608" s="18" t="str">
        <f t="shared" si="100"/>
        <v/>
      </c>
      <c r="D608" s="18" t="str">
        <f t="shared" si="101"/>
        <v/>
      </c>
      <c r="E608" s="18" t="str">
        <f t="shared" si="102"/>
        <v/>
      </c>
      <c r="F608" s="19" t="str">
        <f t="shared" si="103"/>
        <v/>
      </c>
      <c r="H608" s="3" t="str">
        <f t="shared" si="99"/>
        <v/>
      </c>
      <c r="I608" s="18" t="str">
        <f t="shared" si="109"/>
        <v/>
      </c>
      <c r="J608" s="18" t="str">
        <f t="shared" si="104"/>
        <v/>
      </c>
      <c r="K608" s="18" t="str">
        <f t="shared" si="105"/>
        <v/>
      </c>
      <c r="L608" s="18" t="str">
        <f t="shared" si="106"/>
        <v/>
      </c>
      <c r="M608" s="19" t="str">
        <f t="shared" si="107"/>
        <v/>
      </c>
    </row>
    <row r="609" spans="1:13" x14ac:dyDescent="0.25">
      <c r="A609" s="3" t="str">
        <f>IF(B609&lt;&gt;"",599,"")</f>
        <v/>
      </c>
      <c r="B609" s="18" t="str">
        <f t="shared" si="108"/>
        <v/>
      </c>
      <c r="C609" s="18" t="str">
        <f t="shared" si="100"/>
        <v/>
      </c>
      <c r="D609" s="18" t="str">
        <f t="shared" si="101"/>
        <v/>
      </c>
      <c r="E609" s="18" t="str">
        <f t="shared" si="102"/>
        <v/>
      </c>
      <c r="F609" s="19" t="str">
        <f t="shared" si="103"/>
        <v/>
      </c>
      <c r="H609" s="3" t="str">
        <f t="shared" si="99"/>
        <v/>
      </c>
      <c r="I609" s="18" t="str">
        <f t="shared" si="109"/>
        <v/>
      </c>
      <c r="J609" s="18" t="str">
        <f t="shared" si="104"/>
        <v/>
      </c>
      <c r="K609" s="18" t="str">
        <f t="shared" si="105"/>
        <v/>
      </c>
      <c r="L609" s="18" t="str">
        <f t="shared" si="106"/>
        <v/>
      </c>
      <c r="M609" s="19" t="str">
        <f t="shared" si="107"/>
        <v/>
      </c>
    </row>
    <row r="610" spans="1:13" x14ac:dyDescent="0.25">
      <c r="A610" s="3" t="str">
        <f>IF(B610&lt;&gt;"",600,"")</f>
        <v/>
      </c>
      <c r="B610" s="18" t="str">
        <f t="shared" si="108"/>
        <v/>
      </c>
      <c r="C610" s="18" t="str">
        <f t="shared" si="100"/>
        <v/>
      </c>
      <c r="D610" s="18" t="str">
        <f t="shared" si="101"/>
        <v/>
      </c>
      <c r="E610" s="18" t="str">
        <f t="shared" si="102"/>
        <v/>
      </c>
      <c r="F610" s="19" t="str">
        <f t="shared" si="103"/>
        <v/>
      </c>
      <c r="H610" s="3" t="str">
        <f t="shared" si="99"/>
        <v/>
      </c>
      <c r="I610" s="18" t="str">
        <f t="shared" si="109"/>
        <v/>
      </c>
      <c r="J610" s="18" t="str">
        <f t="shared" si="104"/>
        <v/>
      </c>
      <c r="K610" s="18" t="str">
        <f t="shared" si="105"/>
        <v/>
      </c>
      <c r="L610" s="18" t="str">
        <f t="shared" si="106"/>
        <v/>
      </c>
      <c r="M610" s="19" t="str">
        <f t="shared" si="107"/>
        <v/>
      </c>
    </row>
  </sheetData>
  <sheetProtection algorithmName="SHA-512" hashValue="52r2d/q17Be2GYcAZ5mDLMTm8NSeWHmAwcw8Y7JaLjprW8JjyZ0bEyVWjCXNO0/XgOywFt3yaWnNfFCU0mjinQ==" saltValue="5LIq1Gtl8uyjIvQ7sut1mA==" spinCount="100000" sheet="1" objects="1" scenarios="1"/>
  <mergeCells count="6">
    <mergeCell ref="F2:G2"/>
    <mergeCell ref="B3:D3"/>
    <mergeCell ref="B4:D4"/>
    <mergeCell ref="M6:N6"/>
    <mergeCell ref="A8:F9"/>
    <mergeCell ref="H8:M9"/>
  </mergeCells>
  <conditionalFormatting sqref="A11:F610 H11:M610">
    <cfRule type="expression" dxfId="0" priority="1">
      <formula>$B11&lt;&gt;""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6E2C5-B276-4962-B527-28E224565BFF}">
  <dimension ref="A1:N52"/>
  <sheetViews>
    <sheetView zoomScale="175" zoomScaleNormal="175" workbookViewId="0">
      <selection activeCell="C53" sqref="C53"/>
    </sheetView>
  </sheetViews>
  <sheetFormatPr defaultRowHeight="15" x14ac:dyDescent="0.25"/>
  <cols>
    <col min="3" max="3" width="41.140625" bestFit="1" customWidth="1"/>
    <col min="4" max="4" width="13.28515625" customWidth="1"/>
  </cols>
  <sheetData>
    <row r="1" spans="1:14" x14ac:dyDescent="0.25">
      <c r="A1" t="s">
        <v>4</v>
      </c>
      <c r="G1" s="24"/>
      <c r="I1" s="24"/>
    </row>
    <row r="2" spans="1:14" x14ac:dyDescent="0.25">
      <c r="A2" t="s">
        <v>3</v>
      </c>
      <c r="G2" s="24"/>
      <c r="I2" s="1"/>
    </row>
    <row r="10" spans="1:14" x14ac:dyDescent="0.25">
      <c r="C10" t="s">
        <v>4</v>
      </c>
      <c r="K10" t="s">
        <v>3</v>
      </c>
    </row>
    <row r="12" spans="1:14" x14ac:dyDescent="0.25">
      <c r="C12" t="s">
        <v>20</v>
      </c>
      <c r="D12" t="s">
        <v>1</v>
      </c>
      <c r="E12" t="s">
        <v>1</v>
      </c>
      <c r="F12" t="s">
        <v>23</v>
      </c>
      <c r="K12" t="s">
        <v>20</v>
      </c>
      <c r="L12" t="s">
        <v>1</v>
      </c>
      <c r="M12" t="s">
        <v>1</v>
      </c>
      <c r="N12" t="s">
        <v>23</v>
      </c>
    </row>
    <row r="13" spans="1:14" x14ac:dyDescent="0.25">
      <c r="C13" t="s">
        <v>21</v>
      </c>
      <c r="E13" t="s">
        <v>22</v>
      </c>
      <c r="F13" t="s">
        <v>24</v>
      </c>
      <c r="K13" t="s">
        <v>21</v>
      </c>
      <c r="M13" t="s">
        <v>22</v>
      </c>
      <c r="N13" t="s">
        <v>24</v>
      </c>
    </row>
    <row r="14" spans="1:14" x14ac:dyDescent="0.25">
      <c r="B14" t="s">
        <v>17</v>
      </c>
      <c r="C14" s="25">
        <f>Detailberekening!C11+Detailberekening!D11</f>
        <v>3055.5555555555557</v>
      </c>
      <c r="D14" s="25">
        <f>Detailberekening!C11</f>
        <v>1666.6666666666667</v>
      </c>
      <c r="E14" s="25"/>
      <c r="J14" t="s">
        <v>17</v>
      </c>
      <c r="K14" s="23">
        <f>Detailberekening!J11+Detailberekening!K11</f>
        <v>2387.0764773272977</v>
      </c>
      <c r="L14" s="23">
        <f>Detailberekening!J11</f>
        <v>1666.6666666666667</v>
      </c>
    </row>
    <row r="15" spans="1:14" x14ac:dyDescent="0.25">
      <c r="B15" t="s">
        <v>18</v>
      </c>
      <c r="C15" s="25">
        <f>SUM(Detailberekening!C11:D22)</f>
        <v>36361.111111111131</v>
      </c>
      <c r="D15" s="25">
        <f>SUM(Detailberekening!C11:C22)</f>
        <v>19694.444444444449</v>
      </c>
      <c r="E15" s="25"/>
      <c r="J15" t="s">
        <v>18</v>
      </c>
      <c r="K15">
        <f>SUM(Detailberekening!J11:K22)</f>
        <v>28644.917727927575</v>
      </c>
      <c r="L15">
        <f>SUM(Detailberekening!J11:J22)</f>
        <v>19839.735561667283</v>
      </c>
    </row>
    <row r="16" spans="1:14" x14ac:dyDescent="0.25">
      <c r="B16" t="s">
        <v>19</v>
      </c>
      <c r="C16" s="25">
        <f>SUM(Detailberekening!F11:F370)</f>
        <v>800833.33333333617</v>
      </c>
      <c r="D16" s="25">
        <f>SUM(Detailberekening!C11:C396)</f>
        <v>300833.33333333588</v>
      </c>
      <c r="E16" s="25"/>
      <c r="J16" t="s">
        <v>19</v>
      </c>
      <c r="K16">
        <f>SUM(Detailberekening!M11:M458)</f>
        <v>859347.53183782601</v>
      </c>
      <c r="L16">
        <f>SUM(Detailberekening!J11:J455)</f>
        <v>359347.53183782694</v>
      </c>
    </row>
    <row r="28" spans="3:9" x14ac:dyDescent="0.25">
      <c r="D28" s="43" t="s">
        <v>48</v>
      </c>
      <c r="E28" t="s">
        <v>49</v>
      </c>
    </row>
    <row r="29" spans="3:9" x14ac:dyDescent="0.25">
      <c r="C29" t="s">
        <v>44</v>
      </c>
      <c r="D29" s="27">
        <v>0.38844999999999996</v>
      </c>
      <c r="E29" s="1">
        <v>0.19</v>
      </c>
    </row>
    <row r="30" spans="3:9" x14ac:dyDescent="0.25">
      <c r="C30" t="s">
        <v>45</v>
      </c>
      <c r="D30" s="27">
        <f>G39/100</f>
        <v>0.43979000000000001</v>
      </c>
      <c r="E30" s="24">
        <v>0.25800000000000001</v>
      </c>
      <c r="F30" s="24">
        <v>0.25800000000000001</v>
      </c>
      <c r="H30" s="24">
        <v>0.245</v>
      </c>
      <c r="I30" s="1">
        <v>0.31</v>
      </c>
    </row>
    <row r="31" spans="3:9" x14ac:dyDescent="0.25">
      <c r="C31" t="s">
        <v>46</v>
      </c>
      <c r="D31" s="27">
        <f>H39/100</f>
        <v>0.44109999999999999</v>
      </c>
      <c r="E31" s="1">
        <v>0.19</v>
      </c>
    </row>
    <row r="32" spans="3:9" x14ac:dyDescent="0.25">
      <c r="C32" t="s">
        <v>47</v>
      </c>
      <c r="D32" s="27">
        <v>0.48802000000000001</v>
      </c>
      <c r="E32" s="24">
        <v>0.25800000000000001</v>
      </c>
    </row>
    <row r="33" spans="3:8" x14ac:dyDescent="0.25">
      <c r="G33">
        <v>100</v>
      </c>
      <c r="H33">
        <v>100</v>
      </c>
    </row>
    <row r="34" spans="3:8" x14ac:dyDescent="0.25">
      <c r="G34">
        <f>G33*F30</f>
        <v>25.8</v>
      </c>
      <c r="H34">
        <v>19</v>
      </c>
    </row>
    <row r="35" spans="3:8" x14ac:dyDescent="0.25">
      <c r="G35">
        <f>G33-G34</f>
        <v>74.2</v>
      </c>
      <c r="H35">
        <f>H33-H34</f>
        <v>81</v>
      </c>
    </row>
    <row r="36" spans="3:8" x14ac:dyDescent="0.25">
      <c r="G36">
        <f>G35*H30</f>
        <v>18.179000000000002</v>
      </c>
      <c r="H36">
        <f>H35*I30</f>
        <v>25.11</v>
      </c>
    </row>
    <row r="37" spans="3:8" x14ac:dyDescent="0.25">
      <c r="G37">
        <f>G35-G36</f>
        <v>56.021000000000001</v>
      </c>
      <c r="H37">
        <f>H35-H36</f>
        <v>55.89</v>
      </c>
    </row>
    <row r="39" spans="3:8" x14ac:dyDescent="0.25">
      <c r="G39">
        <f>100-G37</f>
        <v>43.978999999999999</v>
      </c>
      <c r="H39">
        <f>100-H37</f>
        <v>44.11</v>
      </c>
    </row>
    <row r="40" spans="3:8" x14ac:dyDescent="0.25">
      <c r="C40" s="24">
        <v>0.19</v>
      </c>
    </row>
    <row r="41" spans="3:8" x14ac:dyDescent="0.25">
      <c r="C41" s="24">
        <v>0.25800000000000001</v>
      </c>
    </row>
    <row r="43" spans="3:8" x14ac:dyDescent="0.25">
      <c r="C43" s="24">
        <v>0.245</v>
      </c>
    </row>
    <row r="44" spans="3:8" x14ac:dyDescent="0.25">
      <c r="C44" s="24">
        <v>0.31</v>
      </c>
    </row>
    <row r="51" spans="3:3" x14ac:dyDescent="0.25">
      <c r="C51" t="s">
        <v>59</v>
      </c>
    </row>
    <row r="52" spans="3:3" x14ac:dyDescent="0.25">
      <c r="C5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Samenvatting</vt:lpstr>
      <vt:lpstr>Detailberekening</vt:lpstr>
      <vt:lpstr>Blad3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Bogaerds</dc:creator>
  <cp:lastModifiedBy>David Bogaerds</cp:lastModifiedBy>
  <dcterms:created xsi:type="dcterms:W3CDTF">2025-09-22T12:10:40Z</dcterms:created>
  <dcterms:modified xsi:type="dcterms:W3CDTF">2025-09-23T04:43:08Z</dcterms:modified>
</cp:coreProperties>
</file>