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https://personalwealthbv-my.sharepoint.com/personal/david_personalwealth_nl/Documents/Documenten/Linkedin Marketing/"/>
    </mc:Choice>
  </mc:AlternateContent>
  <xr:revisionPtr revIDLastSave="1" documentId="8_{D72DEE29-9BC2-4622-8C6D-3C4C5A39C741}" xr6:coauthVersionLast="47" xr6:coauthVersionMax="47" xr10:uidLastSave="{A77CCAFA-68E4-4C43-B5FB-3FF462C3099D}"/>
  <workbookProtection workbookAlgorithmName="SHA-512" workbookHashValue="xTyN+k0/1vvAR6Cm0oKWYilBx4SHDYJZFFC+S3GUbcqkIZytAZ9YXa096uo3gx5BBsfTzp9phQKoIPi3wBuU7w==" workbookSaltValue="m3v+GHAInBrNr4Hn4tqyAg==" workbookSpinCount="100000" lockStructure="1"/>
  <bookViews>
    <workbookView xWindow="-120" yWindow="-120" windowWidth="21840" windowHeight="13020" xr2:uid="{D48E9958-7132-4031-93BC-1D6BBE51C644}"/>
  </bookViews>
  <sheets>
    <sheet name="Rekentool" sheetId="2" r:id="rId1"/>
    <sheet name="Blad1" sheetId="3" state="hidden" r:id="rId2"/>
  </sheets>
  <definedNames>
    <definedName name="aanschafw">#REF!</definedName>
    <definedName name="_xlnm.Print_Area" localSheetId="0">Rekentool!$B$6:$M$78</definedName>
    <definedName name="jaar">#REF!</definedName>
    <definedName name="restw">#REF!</definedName>
  </definedNames>
  <calcPr calcId="191028" iterate="1" iterateDelta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56" i="2" l="1"/>
  <c r="G60" i="2"/>
  <c r="G58" i="2"/>
  <c r="G59" i="2" s="1"/>
  <c r="G61" i="2" s="1"/>
  <c r="G57" i="2"/>
  <c r="G56" i="2"/>
  <c r="O54" i="2"/>
  <c r="O55" i="2" s="1"/>
  <c r="O56" i="2" s="1"/>
  <c r="O57" i="2" s="1"/>
  <c r="R53" i="2"/>
  <c r="E45" i="2" l="1"/>
  <c r="F16" i="3" l="1"/>
  <c r="F15" i="3"/>
  <c r="E13" i="3"/>
  <c r="E15" i="3" s="1"/>
  <c r="E16" i="3" s="1"/>
  <c r="G16" i="3" s="1"/>
  <c r="C42" i="2"/>
  <c r="D42" i="2" s="1"/>
  <c r="I39" i="2"/>
  <c r="J39" i="2" s="1"/>
  <c r="R13" i="2"/>
  <c r="R14" i="2"/>
  <c r="R12" i="2"/>
  <c r="I41" i="2"/>
  <c r="J41" i="2" s="1"/>
  <c r="O38" i="2"/>
  <c r="O39" i="2" s="1"/>
  <c r="O40" i="2" s="1"/>
  <c r="O41" i="2" s="1"/>
  <c r="O42" i="2" s="1"/>
  <c r="O43" i="2" s="1"/>
  <c r="O44" i="2" s="1"/>
  <c r="N12" i="2"/>
  <c r="N13" i="2" s="1"/>
  <c r="N14" i="2" s="1"/>
  <c r="N15" i="2" s="1"/>
  <c r="N16" i="2" s="1"/>
  <c r="N17" i="2" s="1"/>
  <c r="N18" i="2" s="1"/>
  <c r="N19" i="2" s="1"/>
  <c r="N20" i="2" s="1"/>
  <c r="N21" i="2" s="1"/>
  <c r="N22" i="2" s="1"/>
  <c r="N23" i="2" s="1"/>
  <c r="N24" i="2" s="1"/>
  <c r="N25" i="2" s="1"/>
  <c r="N26" i="2" s="1"/>
  <c r="N28" i="2" s="1"/>
  <c r="N29" i="2" s="1"/>
  <c r="N30" i="2" s="1"/>
  <c r="N33" i="2" s="1"/>
  <c r="N34" i="2" s="1"/>
  <c r="N36" i="2" s="1"/>
  <c r="N37" i="2" s="1"/>
  <c r="N38" i="2" s="1"/>
  <c r="N39" i="2" s="1"/>
  <c r="N40" i="2" s="1"/>
  <c r="N41" i="2" s="1"/>
  <c r="N42" i="2" s="1"/>
  <c r="N43" i="2" s="1"/>
  <c r="N44" i="2" s="1"/>
  <c r="D12" i="2"/>
  <c r="O22" i="2"/>
  <c r="O23" i="2" s="1"/>
  <c r="O24" i="2" s="1"/>
  <c r="O25" i="2" s="1"/>
  <c r="O26" i="2" s="1"/>
  <c r="C40" i="2"/>
  <c r="I40" i="2" s="1"/>
  <c r="J40" i="2" s="1"/>
  <c r="G39" i="2"/>
  <c r="G40" i="2"/>
  <c r="G42" i="2"/>
  <c r="G43" i="2"/>
  <c r="I38" i="2" l="1"/>
  <c r="J38" i="2" s="1"/>
  <c r="N45" i="2"/>
  <c r="N46" i="2" s="1"/>
  <c r="N47" i="2" s="1"/>
  <c r="N48" i="2" s="1"/>
  <c r="N49" i="2" s="1"/>
  <c r="N50" i="2" s="1"/>
  <c r="N51" i="2" s="1"/>
  <c r="N52" i="2" s="1"/>
  <c r="N53" i="2" s="1"/>
  <c r="N54" i="2" s="1"/>
  <c r="N55" i="2" s="1"/>
  <c r="N56" i="2" s="1"/>
  <c r="O45" i="2"/>
  <c r="E42" i="2"/>
  <c r="C38" i="2"/>
  <c r="E38" i="2" s="1"/>
  <c r="C39" i="2"/>
  <c r="E39" i="2" s="1"/>
  <c r="G15" i="3"/>
  <c r="G18" i="3" s="1"/>
  <c r="H44" i="2" s="1"/>
  <c r="J44" i="2" s="1"/>
  <c r="D43" i="2"/>
  <c r="P12" i="2"/>
  <c r="P13" i="2" s="1"/>
  <c r="P14" i="2" s="1"/>
  <c r="P15" i="2" s="1"/>
  <c r="P16" i="2" s="1"/>
  <c r="P17" i="2" s="1"/>
  <c r="P18" i="2" s="1"/>
  <c r="P19" i="2" s="1"/>
  <c r="P20" i="2" s="1"/>
  <c r="P21" i="2" s="1"/>
  <c r="P22" i="2" s="1"/>
  <c r="P23" i="2" s="1"/>
  <c r="P24" i="2" s="1"/>
  <c r="P25" i="2" s="1"/>
  <c r="P26" i="2" s="1"/>
  <c r="P28" i="2" s="1"/>
  <c r="P29" i="2" s="1"/>
  <c r="P30" i="2" s="1"/>
  <c r="P33" i="2" s="1"/>
  <c r="P34" i="2" s="1"/>
  <c r="P36" i="2" s="1"/>
  <c r="P37" i="2" s="1"/>
  <c r="P38" i="2" s="1"/>
  <c r="P39" i="2" s="1"/>
  <c r="P40" i="2" s="1"/>
  <c r="P41" i="2" s="1"/>
  <c r="P42" i="2" s="1"/>
  <c r="P43" i="2" s="1"/>
  <c r="P44" i="2" s="1"/>
  <c r="C37" i="2"/>
  <c r="N57" i="2" l="1"/>
  <c r="N58" i="2" s="1"/>
  <c r="N59" i="2" s="1"/>
  <c r="N60" i="2" s="1"/>
  <c r="N61" i="2" s="1"/>
  <c r="N62" i="2" s="1"/>
  <c r="N63" i="2" s="1"/>
  <c r="N64" i="2" s="1"/>
  <c r="N65" i="2" s="1"/>
  <c r="N66" i="2" s="1"/>
  <c r="N67" i="2" s="1"/>
  <c r="N68" i="2" s="1"/>
  <c r="N69" i="2" s="1"/>
  <c r="N70" i="2" s="1"/>
  <c r="N71" i="2" s="1"/>
  <c r="N72" i="2" s="1"/>
  <c r="N73" i="2" s="1"/>
  <c r="N74" i="2" s="1"/>
  <c r="N75" i="2" s="1"/>
  <c r="N76" i="2" s="1"/>
  <c r="N77" i="2" s="1"/>
  <c r="N78" i="2" s="1"/>
  <c r="N79" i="2" s="1"/>
  <c r="N80" i="2" s="1"/>
  <c r="N81" i="2" s="1"/>
  <c r="N82" i="2" s="1"/>
  <c r="N83" i="2" s="1"/>
  <c r="N84" i="2" s="1"/>
  <c r="N85" i="2" s="1"/>
  <c r="N86" i="2" s="1"/>
  <c r="N87" i="2" s="1"/>
  <c r="N88" i="2" s="1"/>
  <c r="N89" i="2" s="1"/>
  <c r="N90" i="2" s="1"/>
  <c r="N91" i="2" s="1"/>
  <c r="N92" i="2" s="1"/>
  <c r="N93" i="2" s="1"/>
  <c r="N94" i="2" s="1"/>
  <c r="N95" i="2" s="1"/>
  <c r="N96" i="2" s="1"/>
  <c r="N97" i="2" s="1"/>
  <c r="N98" i="2" s="1"/>
  <c r="N99" i="2" s="1"/>
  <c r="N100" i="2" s="1"/>
  <c r="N101" i="2" s="1"/>
  <c r="N102" i="2" s="1"/>
  <c r="N103" i="2" s="1"/>
  <c r="N104" i="2" s="1"/>
  <c r="N105" i="2" s="1"/>
  <c r="N106" i="2" s="1"/>
  <c r="N107" i="2" s="1"/>
  <c r="N108" i="2" s="1"/>
  <c r="N109" i="2" s="1"/>
  <c r="N110" i="2" s="1"/>
  <c r="N111" i="2" s="1"/>
  <c r="N112" i="2" s="1"/>
  <c r="N113" i="2" s="1"/>
  <c r="N114" i="2" s="1"/>
  <c r="N115" i="2" s="1"/>
  <c r="N116" i="2" s="1"/>
  <c r="N117" i="2" s="1"/>
  <c r="N118" i="2" s="1"/>
  <c r="N119" i="2" s="1"/>
  <c r="N120" i="2" s="1"/>
  <c r="N121" i="2" s="1"/>
  <c r="N122" i="2" s="1"/>
  <c r="N123" i="2" s="1"/>
  <c r="N124" i="2" s="1"/>
  <c r="N125" i="2" s="1"/>
  <c r="N126" i="2" s="1"/>
  <c r="N127" i="2" s="1"/>
  <c r="N128" i="2" s="1"/>
  <c r="N129" i="2" s="1"/>
  <c r="N130" i="2" s="1"/>
  <c r="N131" i="2" s="1"/>
  <c r="N132" i="2" s="1"/>
  <c r="N133" i="2" s="1"/>
  <c r="N134" i="2" s="1"/>
  <c r="N135" i="2" s="1"/>
  <c r="N136" i="2" s="1"/>
  <c r="N137" i="2" s="1"/>
  <c r="N138" i="2" s="1"/>
  <c r="N139" i="2" s="1"/>
  <c r="N140" i="2" s="1"/>
  <c r="N141" i="2" s="1"/>
  <c r="O47" i="2"/>
  <c r="O48" i="2" s="1"/>
  <c r="O49" i="2" s="1"/>
  <c r="O50" i="2" s="1"/>
  <c r="O51" i="2" s="1"/>
  <c r="O52" i="2" s="1"/>
  <c r="O53" i="2" s="1"/>
  <c r="P45" i="2"/>
  <c r="D44" i="2"/>
  <c r="E44" i="2" s="1"/>
  <c r="E43" i="2"/>
  <c r="C41" i="2"/>
  <c r="E37" i="2"/>
  <c r="H46" i="2"/>
  <c r="G20" i="3"/>
  <c r="P46" i="2" l="1"/>
  <c r="P47" i="2" s="1"/>
  <c r="P48" i="2" s="1"/>
  <c r="P49" i="2" s="1"/>
  <c r="P50" i="2" s="1"/>
  <c r="P51" i="2" s="1"/>
  <c r="P52" i="2" s="1"/>
  <c r="P53" i="2" s="1"/>
  <c r="P54" i="2" s="1"/>
  <c r="P55" i="2" s="1"/>
  <c r="P56" i="2" s="1"/>
  <c r="P57" i="2" s="1"/>
  <c r="P58" i="2" s="1"/>
  <c r="P59" i="2" s="1"/>
  <c r="P60" i="2" s="1"/>
  <c r="P61" i="2" s="1"/>
  <c r="P62" i="2" s="1"/>
  <c r="P63" i="2" s="1"/>
  <c r="P144" i="2" s="1"/>
  <c r="D46" i="2"/>
  <c r="E41" i="2"/>
  <c r="C46" i="2"/>
  <c r="H57" i="2" l="1"/>
  <c r="I37" i="2"/>
  <c r="J37" i="2" s="1"/>
  <c r="P64" i="2"/>
  <c r="P65" i="2" s="1"/>
  <c r="P66" i="2" s="1"/>
  <c r="P67" i="2" s="1"/>
  <c r="P68" i="2" s="1"/>
  <c r="P70" i="2" s="1"/>
  <c r="P71" i="2" s="1"/>
  <c r="P72" i="2" s="1"/>
  <c r="P73" i="2" s="1"/>
  <c r="P74" i="2" s="1"/>
  <c r="P75" i="2" s="1"/>
  <c r="P76" i="2" s="1"/>
  <c r="P77" i="2" s="1"/>
  <c r="P78" i="2" s="1"/>
  <c r="P79" i="2" s="1"/>
  <c r="P80" i="2" s="1"/>
  <c r="P82" i="2" s="1"/>
  <c r="P83" i="2" s="1"/>
  <c r="P84" i="2" s="1"/>
  <c r="P85" i="2" s="1"/>
  <c r="P86" i="2" s="1"/>
  <c r="P87" i="2" s="1"/>
  <c r="P88" i="2" s="1"/>
  <c r="P89" i="2" s="1"/>
  <c r="P90" i="2" s="1"/>
  <c r="P91" i="2" s="1"/>
  <c r="P92" i="2" s="1"/>
  <c r="P94" i="2" s="1"/>
  <c r="P95" i="2" s="1"/>
  <c r="P96" i="2" s="1"/>
  <c r="P97" i="2" s="1"/>
  <c r="P98" i="2" s="1"/>
  <c r="P99" i="2" s="1"/>
  <c r="P100" i="2" s="1"/>
  <c r="P101" i="2" s="1"/>
  <c r="P102" i="2" s="1"/>
  <c r="P103" i="2" s="1"/>
  <c r="P104" i="2" s="1"/>
  <c r="P105" i="2" s="1"/>
  <c r="P106" i="2" s="1"/>
  <c r="P107" i="2" s="1"/>
  <c r="P108" i="2" s="1"/>
  <c r="P109" i="2" s="1"/>
  <c r="P110" i="2" s="1"/>
  <c r="P111" i="2" s="1"/>
  <c r="P112" i="2" s="1"/>
  <c r="P113" i="2" s="1"/>
  <c r="P114" i="2" s="1"/>
  <c r="P115" i="2" s="1"/>
  <c r="P116" i="2" s="1"/>
  <c r="P117" i="2" s="1"/>
  <c r="P118" i="2" s="1"/>
  <c r="P119" i="2" s="1"/>
  <c r="P120" i="2" s="1"/>
  <c r="P121" i="2" s="1"/>
  <c r="P122" i="2" s="1"/>
  <c r="P123" i="2" s="1"/>
  <c r="P124" i="2" s="1"/>
  <c r="P125" i="2" s="1"/>
  <c r="P126" i="2" s="1"/>
  <c r="P127" i="2" s="1"/>
  <c r="P128" i="2" s="1"/>
  <c r="P129" i="2" s="1"/>
  <c r="P130" i="2" s="1"/>
  <c r="P131" i="2" s="1"/>
  <c r="P132" i="2" s="1"/>
  <c r="P133" i="2" s="1"/>
  <c r="P134" i="2" s="1"/>
  <c r="P135" i="2" s="1"/>
  <c r="P136" i="2" s="1"/>
  <c r="P137" i="2" s="1"/>
  <c r="P138" i="2" s="1"/>
  <c r="P139" i="2" s="1"/>
  <c r="P140" i="2" s="1"/>
  <c r="P141" i="2" s="1"/>
  <c r="E46" i="2"/>
  <c r="E48" i="2" s="1"/>
  <c r="H60" i="2" l="1"/>
  <c r="H58" i="2"/>
  <c r="H59" i="2" s="1"/>
  <c r="H61" i="2" s="1"/>
  <c r="H64" i="2" s="1"/>
  <c r="H67" i="2" s="1"/>
  <c r="I42" i="2"/>
  <c r="I43" i="2" s="1"/>
  <c r="J43" i="2" s="1"/>
  <c r="I46" i="2" l="1"/>
  <c r="J46" i="2" s="1"/>
  <c r="J48" i="2" s="1"/>
  <c r="J42" i="2"/>
</calcChain>
</file>

<file path=xl/sharedStrings.xml><?xml version="1.0" encoding="utf-8"?>
<sst xmlns="http://schemas.openxmlformats.org/spreadsheetml/2006/main" count="106" uniqueCount="83">
  <si>
    <t xml:space="preserve"> </t>
  </si>
  <si>
    <t>tot maand</t>
  </si>
  <si>
    <t>afschrijving</t>
  </si>
  <si>
    <t>rest-BPM</t>
  </si>
  <si>
    <t xml:space="preserve">investering </t>
  </si>
  <si>
    <t xml:space="preserve">maar niet </t>
  </si>
  <si>
    <t>aftrek</t>
  </si>
  <si>
    <t>meer dan</t>
  </si>
  <si>
    <t>Aanschafwaarde</t>
  </si>
  <si>
    <t>inclusief BTW en BPM</t>
  </si>
  <si>
    <t>28% x investeringstotaal van dit jaar</t>
  </si>
  <si>
    <t>Cataloguswaarde</t>
  </si>
  <si>
    <t>Oorspronkelijke BPM</t>
  </si>
  <si>
    <t>zie kentekenbewijs deel IA</t>
  </si>
  <si>
    <t>€ 16.568 minus 7,56% x (inv.totaal - € 109.574)</t>
  </si>
  <si>
    <t>Percentage rest-BPM (bij gebruikte auto)</t>
  </si>
  <si>
    <t>%</t>
  </si>
  <si>
    <t>bij nieuwe auto op 100% laten staan</t>
  </si>
  <si>
    <t>Verwachte restwaarde</t>
  </si>
  <si>
    <t>inclusief btw</t>
  </si>
  <si>
    <t>Geplande gebruiksduur in maanden</t>
  </si>
  <si>
    <t>maanden</t>
  </si>
  <si>
    <t>Milieu-investeringsaftrek, voorbeelden:</t>
  </si>
  <si>
    <t>Verwachte jaarlijkse onderhoudskosten</t>
  </si>
  <si>
    <t>incl. BTW (zie evt. www.anwb.nl, zoek op "autokosten")</t>
  </si>
  <si>
    <t>Volledig elektrische personenauto</t>
  </si>
  <si>
    <t>13,5% over max. € 40.000</t>
  </si>
  <si>
    <t>Jaarlijkse kosten motorrijtuigenbelasting (MRB)</t>
  </si>
  <si>
    <t>Volledig elektrische N1/N2 bestelauto</t>
  </si>
  <si>
    <t>36% over max. € 75.000</t>
  </si>
  <si>
    <t>Jaarlijkse kosten verzekering</t>
  </si>
  <si>
    <t>Bestelauto met zonnecelkoeling</t>
  </si>
  <si>
    <t>27% over max. € 16.000</t>
  </si>
  <si>
    <t>Rente financiering</t>
  </si>
  <si>
    <t>(zie voorwaarden milieulijst)</t>
  </si>
  <si>
    <t>plus 45% energie-inv.aftrek over de zonnepanelen</t>
  </si>
  <si>
    <t>Brandstofverbruik</t>
  </si>
  <si>
    <t>liter/100 km</t>
  </si>
  <si>
    <t>Brandstofprijs per liter</t>
  </si>
  <si>
    <t>inclusief BTW</t>
  </si>
  <si>
    <t>Aantal privé-kilometers per jaar</t>
  </si>
  <si>
    <t>km</t>
  </si>
  <si>
    <t>Aantal zakelijke km's per jaar</t>
  </si>
  <si>
    <t>Vergoeding per km indien auto in privé</t>
  </si>
  <si>
    <t>ct/km</t>
  </si>
  <si>
    <t>Investeringsaftrek</t>
  </si>
  <si>
    <t>Belastingtarief privé</t>
  </si>
  <si>
    <t>Belastingtarief BV</t>
  </si>
  <si>
    <t>Privé</t>
  </si>
  <si>
    <t>BV</t>
  </si>
  <si>
    <t>Totaal</t>
  </si>
  <si>
    <t>Afschrijving</t>
  </si>
  <si>
    <t>Rente</t>
  </si>
  <si>
    <t>Verzekering/MRB/onderhoud</t>
  </si>
  <si>
    <t>Brandstof</t>
  </si>
  <si>
    <t>Totale kosten</t>
  </si>
  <si>
    <t>Kilometervergoeding</t>
  </si>
  <si>
    <t xml:space="preserve">Inkomsten-/Vennootschapsbelasting </t>
  </si>
  <si>
    <t>Inkomstenbelasting box 2</t>
  </si>
  <si>
    <t>Netto last per jaar</t>
  </si>
  <si>
    <t>Netto last hele gebruiksduur</t>
  </si>
  <si>
    <t>Prive</t>
  </si>
  <si>
    <t>BTW over privégebruik</t>
  </si>
  <si>
    <t xml:space="preserve">Inkomstenbelasting over de bijtelling </t>
  </si>
  <si>
    <t xml:space="preserve">Netto last per jaar </t>
  </si>
  <si>
    <t>*)</t>
  </si>
  <si>
    <t>alle volgende maanden: afschrijving = 0,083% per maand</t>
  </si>
  <si>
    <t>Rest-BPM bij inruil:</t>
  </si>
  <si>
    <t>https://www.belastingdienst.nl/wps/wcm/connect/nl/auto-en-vervoer/content/hulpmiddel-motorrijtuigenbelasting-berekenen</t>
  </si>
  <si>
    <t>Bijtellingscategorie eerste € 30.000</t>
  </si>
  <si>
    <t>Bijtelling vanaf € 30.000</t>
  </si>
  <si>
    <t>Box 2 belasting</t>
  </si>
  <si>
    <t>Bijtelling hulptabel</t>
  </si>
  <si>
    <t xml:space="preserve">Aanschaf auto in privé </t>
  </si>
  <si>
    <t>km inclusief woon-werkverkeer</t>
  </si>
  <si>
    <t>Meer weten of meteen besparingen in gang zetten? Neem contact met me op!</t>
  </si>
  <si>
    <t>Telefoon: 033-3037709</t>
  </si>
  <si>
    <t>Email: david@personalwealth.nl</t>
  </si>
  <si>
    <t>Aan dit document kan op geen enkele manier rechten worden ontleend</t>
  </si>
  <si>
    <t>Deze rekentool geeft een sterk vereenvoudigde weergave van de werkelijkheid, zonder met alle aspecten rekening te houden</t>
  </si>
  <si>
    <t>Voor professioneel advies is het verstandig een expert te raadplegen</t>
  </si>
  <si>
    <t>Gele cellen invullen</t>
  </si>
  <si>
    <t>Aanschaf auto in de BV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</si>
</sst>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6" formatCode="&quot;€&quot;\ #,##0;[Red]&quot;€&quot;\ \-#,##0"/>
    <numFmt numFmtId="44" formatCode="_ &quot;€&quot;\ * #,##0.00_ ;_ &quot;€&quot;\ * \-#,##0.00_ ;_ &quot;€&quot;\ * &quot;-&quot;??_ ;_ @_ "/>
    <numFmt numFmtId="164" formatCode="_-* #,##0.00_-;_-* #,##0.00\-;_-* &quot;-&quot;??_-;_-@_-"/>
    <numFmt numFmtId="165" formatCode="#,##0.000"/>
    <numFmt numFmtId="166" formatCode="_ &quot;€&quot;\ * #,##0_ ;_ &quot;€&quot;\ * \-#,##0_ ;_ &quot;€&quot;\ * &quot;-&quot;??_ ;_ @_ "/>
    <numFmt numFmtId="167" formatCode="0.000"/>
    <numFmt numFmtId="168" formatCode="0.0000"/>
  </numFmts>
  <fonts count="16">
    <font>
      <sz val="12"/>
      <name val="Arial MT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9"/>
      <name val="Arial"/>
      <family val="2"/>
    </font>
    <font>
      <sz val="7"/>
      <name val="Arial"/>
      <family val="2"/>
    </font>
    <font>
      <sz val="12"/>
      <name val="Arial MT"/>
    </font>
    <font>
      <b/>
      <sz val="11"/>
      <color theme="0"/>
      <name val="Calibri"/>
      <family val="2"/>
      <scheme val="minor"/>
    </font>
    <font>
      <sz val="11"/>
      <name val="Aptos Narrow"/>
      <family val="2"/>
    </font>
    <font>
      <b/>
      <sz val="10"/>
      <color theme="0"/>
      <name val="Arial"/>
      <family val="2"/>
    </font>
    <font>
      <b/>
      <sz val="16"/>
      <color theme="0"/>
      <name val="Arial"/>
      <family val="2"/>
    </font>
    <font>
      <b/>
      <sz val="12"/>
      <color theme="0"/>
      <name val="Arial"/>
      <family val="2"/>
    </font>
    <font>
      <b/>
      <sz val="14"/>
      <color theme="0"/>
      <name val="Arial"/>
      <family val="2"/>
    </font>
    <font>
      <sz val="12"/>
      <name val="Atos narrow"/>
    </font>
    <font>
      <sz val="10"/>
      <name val="Atos narrow"/>
    </font>
    <font>
      <b/>
      <sz val="10"/>
      <name val="Atos narrow"/>
    </font>
  </fonts>
  <fills count="7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3E6C7B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0891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44" fontId="6" fillId="0" borderId="0" applyFont="0" applyFill="0" applyBorder="0" applyAlignment="0" applyProtection="0"/>
    <xf numFmtId="9" fontId="6" fillId="0" borderId="0" applyFont="0" applyFill="0" applyBorder="0" applyAlignment="0" applyProtection="0"/>
  </cellStyleXfs>
  <cellXfs count="80">
    <xf numFmtId="0" fontId="0" fillId="0" borderId="0" xfId="0"/>
    <xf numFmtId="0" fontId="2" fillId="0" borderId="0" xfId="0" applyFont="1" applyAlignment="1">
      <alignment horizontal="left"/>
    </xf>
    <xf numFmtId="0" fontId="3" fillId="0" borderId="0" xfId="0" applyFont="1"/>
    <xf numFmtId="3" fontId="3" fillId="0" borderId="0" xfId="0" applyNumberFormat="1" applyFont="1"/>
    <xf numFmtId="0" fontId="2" fillId="0" borderId="0" xfId="0" applyFont="1"/>
    <xf numFmtId="165" fontId="3" fillId="0" borderId="0" xfId="0" applyNumberFormat="1" applyFont="1"/>
    <xf numFmtId="0" fontId="2" fillId="0" borderId="0" xfId="0" applyFont="1" applyAlignment="1">
      <alignment horizontal="right"/>
    </xf>
    <xf numFmtId="0" fontId="1" fillId="0" borderId="0" xfId="0" applyFont="1" applyAlignment="1">
      <alignment horizontal="left"/>
    </xf>
    <xf numFmtId="0" fontId="1" fillId="0" borderId="0" xfId="0" applyFont="1"/>
    <xf numFmtId="3" fontId="1" fillId="0" borderId="0" xfId="0" applyNumberFormat="1" applyFont="1"/>
    <xf numFmtId="0" fontId="5" fillId="0" borderId="0" xfId="0" applyFont="1"/>
    <xf numFmtId="1" fontId="1" fillId="0" borderId="0" xfId="0" applyNumberFormat="1" applyFont="1"/>
    <xf numFmtId="9" fontId="1" fillId="0" borderId="0" xfId="0" applyNumberFormat="1" applyFont="1" applyAlignment="1">
      <alignment horizontal="left"/>
    </xf>
    <xf numFmtId="0" fontId="1" fillId="0" borderId="0" xfId="0" applyFont="1" applyAlignment="1">
      <alignment horizontal="right"/>
    </xf>
    <xf numFmtId="165" fontId="1" fillId="0" borderId="0" xfId="0" applyNumberFormat="1" applyFont="1" applyAlignment="1">
      <alignment horizontal="right"/>
    </xf>
    <xf numFmtId="6" fontId="1" fillId="0" borderId="0" xfId="0" applyNumberFormat="1" applyFont="1" applyAlignment="1">
      <alignment horizontal="left"/>
    </xf>
    <xf numFmtId="3" fontId="1" fillId="0" borderId="0" xfId="1" applyNumberFormat="1" applyFont="1" applyProtection="1"/>
    <xf numFmtId="9" fontId="0" fillId="0" borderId="0" xfId="0" applyNumberFormat="1"/>
    <xf numFmtId="10" fontId="0" fillId="0" borderId="0" xfId="0" applyNumberFormat="1"/>
    <xf numFmtId="166" fontId="0" fillId="0" borderId="0" xfId="2" applyNumberFormat="1" applyFont="1"/>
    <xf numFmtId="166" fontId="0" fillId="0" borderId="0" xfId="0" applyNumberFormat="1"/>
    <xf numFmtId="10" fontId="0" fillId="0" borderId="0" xfId="3" applyNumberFormat="1" applyFont="1"/>
    <xf numFmtId="3" fontId="1" fillId="0" borderId="0" xfId="0" applyNumberFormat="1" applyFont="1" applyAlignment="1">
      <alignment horizontal="right"/>
    </xf>
    <xf numFmtId="3" fontId="2" fillId="3" borderId="0" xfId="0" applyNumberFormat="1" applyFont="1" applyFill="1"/>
    <xf numFmtId="10" fontId="3" fillId="0" borderId="0" xfId="3" applyNumberFormat="1" applyFont="1"/>
    <xf numFmtId="0" fontId="4" fillId="0" borderId="0" xfId="0" applyFont="1"/>
    <xf numFmtId="0" fontId="7" fillId="0" borderId="0" xfId="0" applyFont="1" applyAlignment="1">
      <alignment vertical="top" wrapText="1"/>
    </xf>
    <xf numFmtId="0" fontId="7" fillId="4" borderId="0" xfId="0" applyFont="1" applyFill="1"/>
    <xf numFmtId="0" fontId="7" fillId="0" borderId="0" xfId="0" applyFont="1"/>
    <xf numFmtId="0" fontId="7" fillId="4" borderId="0" xfId="0" applyFont="1" applyFill="1" applyAlignment="1">
      <alignment vertical="top" wrapText="1"/>
    </xf>
    <xf numFmtId="0" fontId="3" fillId="0" borderId="5" xfId="0" applyFont="1" applyBorder="1"/>
    <xf numFmtId="0" fontId="3" fillId="0" borderId="6" xfId="0" applyFont="1" applyBorder="1"/>
    <xf numFmtId="0" fontId="3" fillId="0" borderId="8" xfId="0" applyFont="1" applyBorder="1"/>
    <xf numFmtId="0" fontId="3" fillId="0" borderId="2" xfId="0" applyFont="1" applyBorder="1"/>
    <xf numFmtId="0" fontId="3" fillId="0" borderId="10" xfId="0" applyFont="1" applyBorder="1"/>
    <xf numFmtId="0" fontId="8" fillId="0" borderId="3" xfId="0" applyFont="1" applyBorder="1" applyAlignment="1">
      <alignment horizontal="left"/>
    </xf>
    <xf numFmtId="0" fontId="8" fillId="0" borderId="0" xfId="0" applyFont="1"/>
    <xf numFmtId="0" fontId="8" fillId="0" borderId="3" xfId="0" applyFont="1" applyBorder="1"/>
    <xf numFmtId="3" fontId="8" fillId="0" borderId="0" xfId="0" applyNumberFormat="1" applyFont="1"/>
    <xf numFmtId="3" fontId="9" fillId="4" borderId="1" xfId="0" applyNumberFormat="1" applyFont="1" applyFill="1" applyBorder="1"/>
    <xf numFmtId="0" fontId="10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3" fontId="9" fillId="0" borderId="1" xfId="0" applyNumberFormat="1" applyFont="1" applyBorder="1"/>
    <xf numFmtId="0" fontId="11" fillId="4" borderId="0" xfId="0" applyFont="1" applyFill="1"/>
    <xf numFmtId="3" fontId="11" fillId="4" borderId="1" xfId="0" applyNumberFormat="1" applyFont="1" applyFill="1" applyBorder="1" applyAlignment="1">
      <alignment horizontal="right"/>
    </xf>
    <xf numFmtId="0" fontId="11" fillId="4" borderId="1" xfId="0" applyFont="1" applyFill="1" applyBorder="1" applyAlignment="1">
      <alignment horizontal="right"/>
    </xf>
    <xf numFmtId="3" fontId="1" fillId="5" borderId="0" xfId="0" applyNumberFormat="1" applyFont="1" applyFill="1"/>
    <xf numFmtId="3" fontId="12" fillId="6" borderId="3" xfId="0" applyNumberFormat="1" applyFont="1" applyFill="1" applyBorder="1"/>
    <xf numFmtId="3" fontId="3" fillId="5" borderId="0" xfId="0" applyNumberFormat="1" applyFont="1" applyFill="1"/>
    <xf numFmtId="10" fontId="8" fillId="0" borderId="0" xfId="3" applyNumberFormat="1" applyFont="1" applyFill="1" applyBorder="1"/>
    <xf numFmtId="0" fontId="13" fillId="0" borderId="4" xfId="0" applyFont="1" applyBorder="1"/>
    <xf numFmtId="0" fontId="13" fillId="0" borderId="5" xfId="0" applyFont="1" applyBorder="1"/>
    <xf numFmtId="0" fontId="14" fillId="0" borderId="5" xfId="0" applyFont="1" applyBorder="1"/>
    <xf numFmtId="0" fontId="15" fillId="0" borderId="5" xfId="0" applyFont="1" applyBorder="1" applyAlignment="1">
      <alignment horizontal="right"/>
    </xf>
    <xf numFmtId="0" fontId="15" fillId="0" borderId="5" xfId="0" applyFont="1" applyBorder="1"/>
    <xf numFmtId="0" fontId="14" fillId="0" borderId="6" xfId="0" applyFont="1" applyBorder="1"/>
    <xf numFmtId="0" fontId="13" fillId="0" borderId="7" xfId="0" applyFont="1" applyBorder="1"/>
    <xf numFmtId="0" fontId="13" fillId="0" borderId="0" xfId="0" applyFont="1"/>
    <xf numFmtId="0" fontId="14" fillId="0" borderId="0" xfId="0" applyFont="1"/>
    <xf numFmtId="3" fontId="14" fillId="0" borderId="0" xfId="0" applyNumberFormat="1" applyFont="1"/>
    <xf numFmtId="0" fontId="14" fillId="0" borderId="0" xfId="0" applyFont="1" applyAlignment="1">
      <alignment horizontal="left"/>
    </xf>
    <xf numFmtId="0" fontId="14" fillId="0" borderId="8" xfId="0" applyFont="1" applyBorder="1"/>
    <xf numFmtId="0" fontId="13" fillId="0" borderId="9" xfId="0" applyFont="1" applyBorder="1"/>
    <xf numFmtId="0" fontId="13" fillId="0" borderId="2" xfId="0" applyFont="1" applyBorder="1"/>
    <xf numFmtId="0" fontId="14" fillId="0" borderId="2" xfId="0" applyFont="1" applyBorder="1"/>
    <xf numFmtId="3" fontId="14" fillId="0" borderId="2" xfId="0" applyNumberFormat="1" applyFont="1" applyBorder="1"/>
    <xf numFmtId="0" fontId="14" fillId="0" borderId="2" xfId="0" applyFont="1" applyBorder="1" applyAlignment="1">
      <alignment horizontal="left"/>
    </xf>
    <xf numFmtId="0" fontId="14" fillId="0" borderId="10" xfId="0" applyFont="1" applyBorder="1"/>
    <xf numFmtId="166" fontId="1" fillId="0" borderId="0" xfId="0" applyNumberFormat="1" applyFont="1"/>
    <xf numFmtId="2" fontId="1" fillId="0" borderId="0" xfId="0" applyNumberFormat="1" applyFont="1"/>
    <xf numFmtId="167" fontId="1" fillId="0" borderId="0" xfId="0" applyNumberFormat="1" applyFont="1"/>
    <xf numFmtId="168" fontId="1" fillId="0" borderId="0" xfId="0" applyNumberFormat="1" applyFont="1"/>
    <xf numFmtId="166" fontId="8" fillId="2" borderId="3" xfId="2" applyNumberFormat="1" applyFont="1" applyFill="1" applyBorder="1" applyProtection="1">
      <protection locked="0"/>
    </xf>
    <xf numFmtId="9" fontId="8" fillId="2" borderId="3" xfId="3" applyFont="1" applyFill="1" applyBorder="1" applyProtection="1">
      <protection locked="0"/>
    </xf>
    <xf numFmtId="3" fontId="8" fillId="2" borderId="3" xfId="0" applyNumberFormat="1" applyFont="1" applyFill="1" applyBorder="1" applyProtection="1">
      <protection locked="0"/>
    </xf>
    <xf numFmtId="44" fontId="8" fillId="2" borderId="3" xfId="2" applyFont="1" applyFill="1" applyBorder="1" applyProtection="1">
      <protection locked="0"/>
    </xf>
    <xf numFmtId="10" fontId="8" fillId="2" borderId="3" xfId="3" applyNumberFormat="1" applyFont="1" applyFill="1" applyBorder="1" applyProtection="1">
      <protection locked="0"/>
    </xf>
    <xf numFmtId="0" fontId="7" fillId="4" borderId="0" xfId="0" applyFont="1" applyFill="1" applyAlignment="1">
      <alignment horizontal="left" vertical="top" wrapText="1"/>
    </xf>
    <xf numFmtId="0" fontId="10" fillId="4" borderId="1" xfId="0" applyFont="1" applyFill="1" applyBorder="1" applyAlignment="1">
      <alignment horizontal="center" vertical="center"/>
    </xf>
    <xf numFmtId="0" fontId="10" fillId="4" borderId="0" xfId="0" applyFont="1" applyFill="1" applyAlignment="1">
      <alignment horizontal="center" vertical="center"/>
    </xf>
  </cellXfs>
  <cellStyles count="4">
    <cellStyle name="Komma" xfId="1" builtinId="3"/>
    <cellStyle name="Procent" xfId="3" builtinId="5"/>
    <cellStyle name="Standaard" xfId="0" builtinId="0"/>
    <cellStyle name="Valuta" xfId="2" builtinId="4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F08910"/>
      <color rgb="FF3E6C7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698256</xdr:colOff>
      <xdr:row>1</xdr:row>
      <xdr:rowOff>108438</xdr:rowOff>
    </xdr:from>
    <xdr:to>
      <xdr:col>1</xdr:col>
      <xdr:colOff>2530973</xdr:colOff>
      <xdr:row>5</xdr:row>
      <xdr:rowOff>134692</xdr:rowOff>
    </xdr:to>
    <xdr:pic>
      <xdr:nvPicPr>
        <xdr:cNvPr id="4" name="Afbeelding 3">
          <a:extLst>
            <a:ext uri="{FF2B5EF4-FFF2-40B4-BE49-F238E27FC236}">
              <a16:creationId xmlns:a16="http://schemas.microsoft.com/office/drawing/2014/main" id="{9C783F5B-F4BA-4A9A-A9E6-58D80F4000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98256" y="270363"/>
          <a:ext cx="2670917" cy="797779"/>
        </a:xfrm>
        <a:prstGeom prst="rect">
          <a:avLst/>
        </a:prstGeom>
      </xdr:spPr>
    </xdr:pic>
    <xdr:clientData/>
  </xdr:twoCellAnchor>
  <xdr:twoCellAnchor editAs="oneCell">
    <xdr:from>
      <xdr:col>2</xdr:col>
      <xdr:colOff>30773</xdr:colOff>
      <xdr:row>1</xdr:row>
      <xdr:rowOff>5862</xdr:rowOff>
    </xdr:from>
    <xdr:to>
      <xdr:col>3</xdr:col>
      <xdr:colOff>81958</xdr:colOff>
      <xdr:row>6</xdr:row>
      <xdr:rowOff>9682</xdr:rowOff>
    </xdr:to>
    <xdr:pic>
      <xdr:nvPicPr>
        <xdr:cNvPr id="5" name="Afbeelding 4" descr="profielafbeelding">
          <a:extLst>
            <a:ext uri="{FF2B5EF4-FFF2-40B4-BE49-F238E27FC236}">
              <a16:creationId xmlns:a16="http://schemas.microsoft.com/office/drawing/2014/main" id="{D52F1AA6-3815-44C5-BD82-061111C41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21698" y="167787"/>
          <a:ext cx="975110" cy="9753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-thema">
  <a:themeElements>
    <a:clrScheme name="Kantoor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toor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2C9BB0-48D3-4AA8-B464-450907841526}">
  <dimension ref="B2:AA206"/>
  <sheetViews>
    <sheetView showGridLines="0" tabSelected="1" zoomScaleNormal="100" workbookViewId="0">
      <selection activeCell="C17" sqref="C17"/>
    </sheetView>
  </sheetViews>
  <sheetFormatPr defaultColWidth="9.77734375" defaultRowHeight="12.75"/>
  <cols>
    <col min="1" max="1" width="9.77734375" style="2"/>
    <col min="2" max="2" width="32.109375" style="2" customWidth="1"/>
    <col min="3" max="3" width="10.77734375" style="3" customWidth="1"/>
    <col min="4" max="5" width="10.77734375" style="2" customWidth="1"/>
    <col min="6" max="6" width="5.77734375" style="2" customWidth="1"/>
    <col min="7" max="7" width="18.77734375" style="3" customWidth="1"/>
    <col min="8" max="12" width="10.77734375" style="3" customWidth="1"/>
    <col min="13" max="13" width="9.77734375" style="2"/>
    <col min="14" max="15" width="10.77734375" style="2" hidden="1" customWidth="1"/>
    <col min="16" max="16" width="10.77734375" style="5" hidden="1" customWidth="1"/>
    <col min="17" max="20" width="10.77734375" style="2" hidden="1" customWidth="1"/>
    <col min="21" max="21" width="9.77734375" style="2" hidden="1" customWidth="1"/>
    <col min="22" max="25" width="0" style="2" hidden="1" customWidth="1"/>
    <col min="26" max="16384" width="9.77734375" style="2"/>
  </cols>
  <sheetData>
    <row r="2" spans="2:27" customFormat="1" ht="15" customHeight="1">
      <c r="E2" s="77" t="s">
        <v>75</v>
      </c>
      <c r="F2" s="77"/>
      <c r="G2" s="77"/>
      <c r="H2" s="77"/>
      <c r="I2" s="3"/>
      <c r="J2" s="3"/>
      <c r="K2" s="3"/>
      <c r="M2" s="26"/>
    </row>
    <row r="3" spans="2:27" customFormat="1" ht="15">
      <c r="E3" s="77"/>
      <c r="F3" s="77"/>
      <c r="G3" s="77"/>
      <c r="H3" s="77"/>
      <c r="I3" s="3"/>
      <c r="J3" s="3"/>
      <c r="K3" s="3"/>
      <c r="M3" s="26"/>
    </row>
    <row r="4" spans="2:27" customFormat="1" ht="15">
      <c r="E4" s="29"/>
      <c r="F4" s="29"/>
      <c r="G4" s="29"/>
      <c r="H4" s="29"/>
      <c r="I4" s="3"/>
      <c r="J4" s="3"/>
      <c r="K4" s="3"/>
      <c r="M4" s="26"/>
    </row>
    <row r="5" spans="2:27" customFormat="1" ht="15.75">
      <c r="E5" s="27" t="s">
        <v>76</v>
      </c>
      <c r="F5" s="27"/>
      <c r="G5" s="27"/>
      <c r="H5" s="27"/>
      <c r="I5" s="3"/>
      <c r="J5" s="3"/>
      <c r="K5" s="3"/>
      <c r="M5" s="28"/>
    </row>
    <row r="6" spans="2:27" customFormat="1" ht="15.75">
      <c r="E6" s="27" t="s">
        <v>77</v>
      </c>
      <c r="F6" s="27"/>
      <c r="G6" s="27"/>
      <c r="H6" s="27"/>
      <c r="I6" s="3"/>
      <c r="J6" s="3"/>
      <c r="K6" s="3"/>
      <c r="M6" s="28"/>
    </row>
    <row r="7" spans="2:27" customFormat="1" ht="15.75">
      <c r="E7" s="28"/>
      <c r="F7" s="28"/>
      <c r="G7" s="28"/>
      <c r="H7" s="28"/>
      <c r="I7" s="3"/>
      <c r="J7" s="3"/>
      <c r="K7" s="3"/>
      <c r="M7" s="28"/>
    </row>
    <row r="8" spans="2:27">
      <c r="B8" s="1"/>
      <c r="C8" s="9"/>
      <c r="D8" s="8"/>
      <c r="E8" s="8"/>
      <c r="F8" s="8"/>
      <c r="G8" s="9"/>
      <c r="H8" s="9"/>
      <c r="I8" s="9"/>
      <c r="J8" s="9"/>
      <c r="K8" s="9"/>
      <c r="L8" s="9"/>
      <c r="M8" s="8"/>
      <c r="N8" s="13" t="s">
        <v>1</v>
      </c>
      <c r="O8" s="13" t="s">
        <v>2</v>
      </c>
      <c r="P8" s="14" t="s">
        <v>3</v>
      </c>
      <c r="Q8" s="8"/>
      <c r="R8" s="6" t="s">
        <v>4</v>
      </c>
      <c r="S8" s="6" t="s">
        <v>5</v>
      </c>
      <c r="T8" s="6"/>
      <c r="U8" s="4" t="s">
        <v>6</v>
      </c>
    </row>
    <row r="9" spans="2:27" ht="15">
      <c r="B9" s="8" t="s">
        <v>0</v>
      </c>
      <c r="C9" s="9"/>
      <c r="D9" s="8"/>
      <c r="E9" s="8"/>
      <c r="F9" s="8"/>
      <c r="G9" s="50" t="s">
        <v>78</v>
      </c>
      <c r="H9" s="51"/>
      <c r="I9" s="51"/>
      <c r="J9" s="51"/>
      <c r="K9" s="51"/>
      <c r="L9" s="51"/>
      <c r="M9" s="51"/>
      <c r="N9" s="51"/>
      <c r="O9" s="52"/>
      <c r="P9" s="53" t="s">
        <v>7</v>
      </c>
      <c r="Q9" s="53" t="s">
        <v>7</v>
      </c>
      <c r="R9" s="53"/>
      <c r="S9" s="54"/>
      <c r="T9" s="52"/>
      <c r="U9" s="52"/>
      <c r="V9" s="52"/>
      <c r="W9" s="52"/>
      <c r="X9" s="55"/>
      <c r="Y9" s="30"/>
      <c r="Z9" s="30"/>
      <c r="AA9" s="31"/>
    </row>
    <row r="10" spans="2:27" ht="15">
      <c r="B10" s="4" t="s">
        <v>81</v>
      </c>
      <c r="C10" s="9"/>
      <c r="D10" s="4"/>
      <c r="F10" s="8"/>
      <c r="G10" s="56" t="s">
        <v>79</v>
      </c>
      <c r="H10" s="57"/>
      <c r="I10" s="57"/>
      <c r="J10" s="57"/>
      <c r="K10" s="57"/>
      <c r="L10" s="57"/>
      <c r="M10" s="57"/>
      <c r="N10" s="57"/>
      <c r="O10" s="58"/>
      <c r="P10" s="59">
        <v>0</v>
      </c>
      <c r="Q10" s="59">
        <v>2400</v>
      </c>
      <c r="R10" s="59"/>
      <c r="S10" s="60">
        <v>0</v>
      </c>
      <c r="T10" s="58"/>
      <c r="U10" s="58"/>
      <c r="V10" s="58"/>
      <c r="W10" s="58"/>
      <c r="X10" s="61"/>
      <c r="AA10" s="32"/>
    </row>
    <row r="11" spans="2:27" ht="15" customHeight="1">
      <c r="B11" s="35" t="s">
        <v>8</v>
      </c>
      <c r="C11" s="72">
        <v>100000</v>
      </c>
      <c r="D11" s="36" t="s">
        <v>9</v>
      </c>
      <c r="F11" s="8"/>
      <c r="G11" s="62" t="s">
        <v>80</v>
      </c>
      <c r="H11" s="63"/>
      <c r="I11" s="63"/>
      <c r="J11" s="63"/>
      <c r="K11" s="63"/>
      <c r="L11" s="63"/>
      <c r="M11" s="63"/>
      <c r="N11" s="63"/>
      <c r="O11" s="64"/>
      <c r="P11" s="65">
        <v>2400</v>
      </c>
      <c r="Q11" s="65">
        <v>59170</v>
      </c>
      <c r="R11" s="65"/>
      <c r="S11" s="66" t="s">
        <v>10</v>
      </c>
      <c r="T11" s="64"/>
      <c r="U11" s="64"/>
      <c r="V11" s="64"/>
      <c r="W11" s="64"/>
      <c r="X11" s="67"/>
      <c r="Y11" s="33"/>
      <c r="Z11" s="33"/>
      <c r="AA11" s="34"/>
    </row>
    <row r="12" spans="2:27" ht="15" customHeight="1">
      <c r="B12" s="37" t="s">
        <v>11</v>
      </c>
      <c r="C12" s="72">
        <v>100000</v>
      </c>
      <c r="D12" s="36" t="str">
        <f>D11</f>
        <v>inclusief BTW en BPM</v>
      </c>
      <c r="F12" s="8"/>
      <c r="G12" s="8"/>
      <c r="H12" s="8"/>
      <c r="I12" s="8"/>
      <c r="J12" s="8"/>
      <c r="K12" s="8"/>
      <c r="L12" s="8"/>
      <c r="M12" s="8"/>
      <c r="N12" s="8">
        <f>L11+1</f>
        <v>1</v>
      </c>
      <c r="O12" s="8">
        <v>12</v>
      </c>
      <c r="P12" s="8">
        <f>N11-O12</f>
        <v>-12</v>
      </c>
      <c r="Q12" s="8"/>
      <c r="R12" s="9">
        <f>Q11</f>
        <v>59170</v>
      </c>
      <c r="S12" s="9">
        <v>109574</v>
      </c>
      <c r="T12" s="9"/>
      <c r="U12" s="15">
        <v>16568</v>
      </c>
    </row>
    <row r="13" spans="2:27" ht="15" customHeight="1">
      <c r="B13" s="37" t="s">
        <v>12</v>
      </c>
      <c r="C13" s="72">
        <v>3428</v>
      </c>
      <c r="D13" s="36" t="s">
        <v>13</v>
      </c>
      <c r="F13" s="8"/>
      <c r="G13" s="8"/>
      <c r="H13" s="8"/>
      <c r="I13" s="8"/>
      <c r="J13" s="8"/>
      <c r="K13" s="8"/>
      <c r="L13" s="8"/>
      <c r="M13" s="8"/>
      <c r="N13" s="8">
        <f t="shared" ref="N13:N19" si="0">N12+1</f>
        <v>2</v>
      </c>
      <c r="O13" s="8">
        <v>4</v>
      </c>
      <c r="P13" s="8">
        <f t="shared" ref="P13:P19" si="1">P12-O13</f>
        <v>-16</v>
      </c>
      <c r="Q13" s="8"/>
      <c r="R13" s="9">
        <f>S12</f>
        <v>109574</v>
      </c>
      <c r="S13" s="9">
        <v>328721</v>
      </c>
      <c r="T13" s="9"/>
      <c r="U13" s="7" t="s">
        <v>14</v>
      </c>
    </row>
    <row r="14" spans="2:27" ht="15" customHeight="1">
      <c r="B14" s="37" t="s">
        <v>15</v>
      </c>
      <c r="C14" s="73">
        <v>1</v>
      </c>
      <c r="D14" s="36" t="s">
        <v>17</v>
      </c>
      <c r="F14" s="8"/>
      <c r="G14" s="8"/>
      <c r="H14" s="8"/>
      <c r="I14" s="8"/>
      <c r="J14" s="8"/>
      <c r="K14" s="8"/>
      <c r="L14" s="8"/>
      <c r="M14" s="8"/>
      <c r="N14" s="8">
        <f t="shared" si="0"/>
        <v>3</v>
      </c>
      <c r="O14" s="8">
        <v>4</v>
      </c>
      <c r="P14" s="8">
        <f t="shared" si="1"/>
        <v>-20</v>
      </c>
      <c r="Q14" s="8"/>
      <c r="R14" s="9">
        <f>S13</f>
        <v>328721</v>
      </c>
      <c r="S14" s="9"/>
      <c r="T14" s="9"/>
      <c r="U14" s="7">
        <v>0</v>
      </c>
    </row>
    <row r="15" spans="2:27" ht="15" customHeight="1">
      <c r="B15" s="37" t="s">
        <v>18</v>
      </c>
      <c r="C15" s="72">
        <v>50000</v>
      </c>
      <c r="D15" s="36" t="s">
        <v>19</v>
      </c>
      <c r="F15" s="8"/>
      <c r="G15" s="8"/>
      <c r="H15" s="8"/>
      <c r="I15" s="8"/>
      <c r="J15" s="8"/>
      <c r="K15" s="8"/>
      <c r="L15" s="8"/>
      <c r="M15" s="8"/>
      <c r="N15" s="8">
        <f t="shared" si="0"/>
        <v>4</v>
      </c>
      <c r="O15" s="8">
        <v>3.5</v>
      </c>
      <c r="P15" s="8">
        <f t="shared" si="1"/>
        <v>-23.5</v>
      </c>
      <c r="Q15" s="8"/>
      <c r="R15" s="8"/>
      <c r="S15" s="8"/>
      <c r="T15" s="8"/>
      <c r="U15" s="8"/>
    </row>
    <row r="16" spans="2:27" ht="15" customHeight="1">
      <c r="B16" s="37" t="s">
        <v>20</v>
      </c>
      <c r="C16" s="74">
        <v>48</v>
      </c>
      <c r="D16" s="36" t="s">
        <v>21</v>
      </c>
      <c r="F16" s="8"/>
      <c r="G16" s="8"/>
      <c r="H16" s="8"/>
      <c r="I16" s="8"/>
      <c r="J16" s="8"/>
      <c r="K16" s="8"/>
      <c r="L16" s="8"/>
      <c r="M16" s="8"/>
      <c r="N16" s="8">
        <f t="shared" si="0"/>
        <v>5</v>
      </c>
      <c r="O16" s="8">
        <v>3.5</v>
      </c>
      <c r="P16" s="8">
        <f t="shared" si="1"/>
        <v>-27</v>
      </c>
      <c r="Q16" s="8"/>
      <c r="R16" s="4" t="s">
        <v>22</v>
      </c>
      <c r="S16" s="8"/>
      <c r="T16" s="8"/>
      <c r="U16" s="8"/>
    </row>
    <row r="17" spans="2:21" ht="15" customHeight="1">
      <c r="B17" s="37" t="s">
        <v>23</v>
      </c>
      <c r="C17" s="72">
        <v>800</v>
      </c>
      <c r="D17" s="36" t="s">
        <v>24</v>
      </c>
      <c r="F17" s="8"/>
      <c r="G17" s="8"/>
      <c r="H17" s="8"/>
      <c r="I17" s="8"/>
      <c r="J17" s="8"/>
      <c r="K17" s="8"/>
      <c r="L17" s="8"/>
      <c r="M17" s="8"/>
      <c r="N17" s="8">
        <f t="shared" si="0"/>
        <v>6</v>
      </c>
      <c r="O17" s="8">
        <v>1.5</v>
      </c>
      <c r="P17" s="8">
        <f t="shared" si="1"/>
        <v>-28.5</v>
      </c>
      <c r="Q17" s="8"/>
      <c r="R17" s="8" t="s">
        <v>25</v>
      </c>
      <c r="S17" s="8"/>
      <c r="T17" s="8"/>
      <c r="U17" s="8" t="s">
        <v>26</v>
      </c>
    </row>
    <row r="18" spans="2:21" ht="15" customHeight="1">
      <c r="B18" s="37" t="s">
        <v>27</v>
      </c>
      <c r="C18" s="72">
        <v>1000</v>
      </c>
      <c r="D18" s="36" t="s">
        <v>68</v>
      </c>
      <c r="F18" s="8"/>
      <c r="G18" s="8"/>
      <c r="H18" s="8"/>
      <c r="I18" s="8"/>
      <c r="J18" s="8"/>
      <c r="K18" s="8"/>
      <c r="L18" s="8"/>
      <c r="M18" s="8"/>
      <c r="N18" s="8">
        <f t="shared" si="0"/>
        <v>7</v>
      </c>
      <c r="O18" s="8">
        <v>1.5</v>
      </c>
      <c r="P18" s="8">
        <f t="shared" si="1"/>
        <v>-30</v>
      </c>
      <c r="Q18" s="8"/>
      <c r="R18" s="8" t="s">
        <v>28</v>
      </c>
      <c r="S18" s="8"/>
      <c r="T18" s="8"/>
      <c r="U18" s="8" t="s">
        <v>29</v>
      </c>
    </row>
    <row r="19" spans="2:21" ht="15" customHeight="1">
      <c r="B19" s="37" t="s">
        <v>30</v>
      </c>
      <c r="C19" s="72">
        <v>1150</v>
      </c>
      <c r="D19" s="36"/>
      <c r="F19" s="8"/>
      <c r="G19" s="8"/>
      <c r="H19" s="8"/>
      <c r="I19" s="8"/>
      <c r="J19" s="8"/>
      <c r="K19" s="8"/>
      <c r="L19" s="8"/>
      <c r="M19" s="8"/>
      <c r="N19" s="8">
        <f t="shared" si="0"/>
        <v>8</v>
      </c>
      <c r="O19" s="8">
        <v>1.5</v>
      </c>
      <c r="P19" s="8">
        <f t="shared" si="1"/>
        <v>-31.5</v>
      </c>
      <c r="Q19" s="8"/>
      <c r="R19" s="8" t="s">
        <v>31</v>
      </c>
      <c r="S19" s="8"/>
      <c r="T19" s="8"/>
      <c r="U19" s="12" t="s">
        <v>32</v>
      </c>
    </row>
    <row r="20" spans="2:21" ht="15" customHeight="1">
      <c r="B20" s="37" t="s">
        <v>33</v>
      </c>
      <c r="C20" s="73">
        <v>0.05</v>
      </c>
      <c r="D20" s="36"/>
      <c r="F20" s="8"/>
      <c r="G20" s="8"/>
      <c r="H20" s="8"/>
      <c r="I20" s="8"/>
      <c r="J20" s="8"/>
      <c r="K20" s="8"/>
      <c r="L20" s="8"/>
      <c r="M20" s="8"/>
      <c r="N20" s="8">
        <f t="shared" ref="N20:N59" si="2">N19+1</f>
        <v>9</v>
      </c>
      <c r="O20" s="8">
        <v>1.5</v>
      </c>
      <c r="P20" s="8">
        <f t="shared" ref="P20:P59" si="3">P19-O20</f>
        <v>-33</v>
      </c>
      <c r="Q20" s="8"/>
      <c r="R20" s="8" t="s">
        <v>34</v>
      </c>
      <c r="S20" s="8"/>
      <c r="T20" s="8"/>
      <c r="U20" s="8" t="s">
        <v>35</v>
      </c>
    </row>
    <row r="21" spans="2:21" ht="15" customHeight="1">
      <c r="B21" s="37" t="s">
        <v>36</v>
      </c>
      <c r="C21" s="74">
        <v>7</v>
      </c>
      <c r="D21" s="36" t="s">
        <v>37</v>
      </c>
      <c r="F21" s="8"/>
      <c r="G21" s="8"/>
      <c r="H21" s="8"/>
      <c r="I21" s="8"/>
      <c r="J21" s="8"/>
      <c r="K21" s="8"/>
      <c r="L21" s="8"/>
      <c r="M21" s="8"/>
      <c r="N21" s="8">
        <f t="shared" si="2"/>
        <v>10</v>
      </c>
      <c r="O21" s="8">
        <v>1</v>
      </c>
      <c r="P21" s="8">
        <f t="shared" si="3"/>
        <v>-34</v>
      </c>
      <c r="Q21" s="8"/>
      <c r="R21" s="8"/>
      <c r="S21" s="8"/>
      <c r="T21" s="8"/>
      <c r="U21" s="8"/>
    </row>
    <row r="22" spans="2:21" ht="15" customHeight="1">
      <c r="B22" s="37" t="s">
        <v>38</v>
      </c>
      <c r="C22" s="75">
        <v>2.2000000000000002</v>
      </c>
      <c r="D22" s="36" t="s">
        <v>39</v>
      </c>
      <c r="F22" s="8"/>
      <c r="G22" s="8"/>
      <c r="H22" s="8"/>
      <c r="I22" s="8"/>
      <c r="J22" s="8"/>
      <c r="K22" s="8"/>
      <c r="L22" s="8"/>
      <c r="M22" s="8"/>
      <c r="N22" s="8">
        <f t="shared" si="2"/>
        <v>11</v>
      </c>
      <c r="O22" s="8">
        <f t="shared" ref="O22:O26" si="4">O21</f>
        <v>1</v>
      </c>
      <c r="P22" s="8">
        <f t="shared" si="3"/>
        <v>-35</v>
      </c>
      <c r="Q22" s="8"/>
    </row>
    <row r="23" spans="2:21" ht="15" customHeight="1">
      <c r="B23" s="37" t="s">
        <v>40</v>
      </c>
      <c r="C23" s="74">
        <v>10000</v>
      </c>
      <c r="D23" s="36" t="s">
        <v>41</v>
      </c>
      <c r="F23" s="8"/>
      <c r="G23" s="8"/>
      <c r="H23" s="68"/>
      <c r="I23" s="68"/>
      <c r="J23" s="68"/>
      <c r="K23" s="68"/>
      <c r="L23" s="8"/>
      <c r="M23" s="8"/>
      <c r="N23" s="8">
        <f t="shared" si="2"/>
        <v>12</v>
      </c>
      <c r="O23" s="8">
        <f t="shared" si="4"/>
        <v>1</v>
      </c>
      <c r="P23" s="8">
        <f t="shared" si="3"/>
        <v>-36</v>
      </c>
      <c r="Q23" s="8"/>
    </row>
    <row r="24" spans="2:21" ht="15" customHeight="1">
      <c r="B24" s="37" t="s">
        <v>42</v>
      </c>
      <c r="C24" s="74">
        <v>20000</v>
      </c>
      <c r="D24" s="36" t="s">
        <v>74</v>
      </c>
      <c r="F24" s="8"/>
      <c r="G24" s="8"/>
      <c r="I24" s="8"/>
      <c r="J24" s="8"/>
      <c r="K24" s="8"/>
      <c r="L24" s="8"/>
      <c r="M24" s="8"/>
      <c r="N24" s="8">
        <f t="shared" si="2"/>
        <v>13</v>
      </c>
      <c r="O24" s="8">
        <f t="shared" si="4"/>
        <v>1</v>
      </c>
      <c r="P24" s="8">
        <f t="shared" si="3"/>
        <v>-37</v>
      </c>
      <c r="Q24" s="8"/>
    </row>
    <row r="25" spans="2:21" ht="15" customHeight="1">
      <c r="B25" s="37" t="s">
        <v>43</v>
      </c>
      <c r="C25" s="75">
        <v>0.23</v>
      </c>
      <c r="D25" s="36" t="s">
        <v>44</v>
      </c>
      <c r="F25" s="8"/>
      <c r="G25" s="9"/>
      <c r="H25" s="68"/>
      <c r="I25" s="9"/>
      <c r="J25" s="9"/>
      <c r="K25" s="9"/>
      <c r="L25" s="9"/>
      <c r="M25" s="8"/>
      <c r="N25" s="8">
        <f t="shared" si="2"/>
        <v>14</v>
      </c>
      <c r="O25" s="8">
        <f t="shared" si="4"/>
        <v>1</v>
      </c>
      <c r="P25" s="8">
        <f t="shared" si="3"/>
        <v>-38</v>
      </c>
      <c r="Q25" s="8"/>
    </row>
    <row r="26" spans="2:21" ht="15" customHeight="1">
      <c r="B26" s="37" t="s">
        <v>69</v>
      </c>
      <c r="C26" s="73">
        <v>0.22</v>
      </c>
      <c r="D26" s="36"/>
      <c r="E26" s="10"/>
      <c r="F26" s="8"/>
      <c r="G26" s="9"/>
      <c r="H26" s="9"/>
      <c r="I26" s="9"/>
      <c r="J26" s="9"/>
      <c r="K26" s="9"/>
      <c r="L26" s="9"/>
      <c r="M26" s="8"/>
      <c r="N26" s="8">
        <f t="shared" si="2"/>
        <v>15</v>
      </c>
      <c r="O26" s="8">
        <f t="shared" si="4"/>
        <v>1</v>
      </c>
      <c r="P26" s="8">
        <f t="shared" si="3"/>
        <v>-39</v>
      </c>
      <c r="Q26" s="8"/>
    </row>
    <row r="27" spans="2:21" ht="15" customHeight="1">
      <c r="B27" s="37" t="s">
        <v>70</v>
      </c>
      <c r="C27" s="73">
        <v>0.22</v>
      </c>
      <c r="D27" s="36"/>
      <c r="E27" s="10"/>
      <c r="F27" s="8"/>
      <c r="G27" s="9"/>
      <c r="H27" s="9"/>
      <c r="I27" s="9"/>
      <c r="J27" s="9"/>
      <c r="K27" s="9"/>
      <c r="L27" s="9"/>
      <c r="M27" s="8"/>
      <c r="N27" s="8"/>
      <c r="O27" s="8"/>
      <c r="P27" s="8"/>
      <c r="Q27" s="8"/>
    </row>
    <row r="28" spans="2:21" ht="15" customHeight="1">
      <c r="B28" s="37" t="s">
        <v>45</v>
      </c>
      <c r="C28" s="72">
        <v>0</v>
      </c>
      <c r="D28" s="36"/>
      <c r="E28" s="10"/>
      <c r="F28" s="8"/>
      <c r="G28" s="9"/>
      <c r="H28" s="9"/>
      <c r="I28" s="9"/>
      <c r="J28" s="9"/>
      <c r="K28" s="9"/>
      <c r="L28" s="9"/>
      <c r="M28" s="8"/>
      <c r="N28" s="8">
        <f>N26+1</f>
        <v>16</v>
      </c>
      <c r="O28" s="8">
        <v>1</v>
      </c>
      <c r="P28" s="8">
        <f>P26-O28</f>
        <v>-40</v>
      </c>
      <c r="Q28" s="8"/>
    </row>
    <row r="29" spans="2:21" ht="15" customHeight="1">
      <c r="B29" s="37" t="s">
        <v>46</v>
      </c>
      <c r="C29" s="76">
        <v>0.495</v>
      </c>
      <c r="D29" s="36"/>
      <c r="E29" s="10"/>
      <c r="G29" s="9"/>
      <c r="H29" s="9"/>
      <c r="I29" s="9"/>
      <c r="J29" s="9"/>
      <c r="K29" s="9"/>
      <c r="L29" s="9"/>
      <c r="M29" s="8"/>
      <c r="N29" s="8">
        <f t="shared" si="2"/>
        <v>17</v>
      </c>
      <c r="O29" s="8">
        <v>1</v>
      </c>
      <c r="P29" s="8">
        <f t="shared" si="3"/>
        <v>-41</v>
      </c>
      <c r="Q29" s="8"/>
    </row>
    <row r="30" spans="2:21" ht="15" customHeight="1">
      <c r="B30" s="37" t="s">
        <v>47</v>
      </c>
      <c r="C30" s="76">
        <v>0.19</v>
      </c>
      <c r="D30" s="36"/>
      <c r="E30" s="10"/>
      <c r="F30" s="8"/>
      <c r="G30" s="9"/>
      <c r="H30" s="9"/>
      <c r="I30" s="9"/>
      <c r="J30" s="9"/>
      <c r="K30" s="9"/>
      <c r="L30" s="9"/>
      <c r="M30" s="8"/>
      <c r="N30" s="8">
        <f t="shared" si="2"/>
        <v>18</v>
      </c>
      <c r="O30" s="8">
        <v>1</v>
      </c>
      <c r="P30" s="69">
        <f t="shared" si="3"/>
        <v>-42</v>
      </c>
      <c r="Q30" s="8"/>
    </row>
    <row r="31" spans="2:21" ht="15" customHeight="1">
      <c r="B31" s="37" t="s">
        <v>71</v>
      </c>
      <c r="C31" s="76">
        <v>0.245</v>
      </c>
      <c r="D31" s="36"/>
      <c r="E31" s="10"/>
      <c r="F31" s="8"/>
      <c r="G31" s="9"/>
      <c r="H31" s="9"/>
      <c r="I31" s="9"/>
      <c r="J31" s="9"/>
      <c r="K31" s="9"/>
      <c r="L31" s="9"/>
      <c r="M31" s="8"/>
      <c r="N31" s="8"/>
      <c r="O31" s="8"/>
      <c r="P31" s="8"/>
      <c r="Q31" s="8"/>
    </row>
    <row r="32" spans="2:21" ht="15" customHeight="1">
      <c r="B32" s="36"/>
      <c r="C32" s="49"/>
      <c r="D32" s="36"/>
      <c r="E32" s="10"/>
      <c r="F32" s="8"/>
      <c r="G32" s="9"/>
      <c r="H32" s="9"/>
      <c r="I32" s="9"/>
      <c r="J32" s="9"/>
      <c r="K32" s="9"/>
      <c r="L32" s="9"/>
      <c r="M32" s="8"/>
      <c r="N32" s="8"/>
      <c r="O32" s="8"/>
      <c r="P32" s="8"/>
      <c r="Q32" s="8"/>
    </row>
    <row r="33" spans="2:17" ht="15">
      <c r="B33" s="36"/>
      <c r="C33" s="38"/>
      <c r="D33" s="36"/>
      <c r="E33" s="8"/>
      <c r="F33" s="8"/>
      <c r="G33" s="9"/>
      <c r="H33" s="9"/>
      <c r="I33" s="9"/>
      <c r="J33" s="9"/>
      <c r="K33" s="9"/>
      <c r="L33" s="9"/>
      <c r="M33" s="8"/>
      <c r="N33" s="8">
        <f>N30+1</f>
        <v>19</v>
      </c>
      <c r="O33" s="8">
        <v>0.75</v>
      </c>
      <c r="P33" s="8">
        <f>P30-O33</f>
        <v>-42.75</v>
      </c>
      <c r="Q33" s="8"/>
    </row>
    <row r="34" spans="2:17" ht="27.75" customHeight="1">
      <c r="B34" s="78" t="s">
        <v>73</v>
      </c>
      <c r="C34" s="78"/>
      <c r="D34" s="78"/>
      <c r="E34" s="39"/>
      <c r="F34" s="8"/>
      <c r="G34" s="79" t="s">
        <v>82</v>
      </c>
      <c r="H34" s="79"/>
      <c r="I34" s="79"/>
      <c r="J34" s="79"/>
      <c r="M34" s="8"/>
      <c r="N34" s="8">
        <f t="shared" si="2"/>
        <v>20</v>
      </c>
      <c r="O34" s="8">
        <v>0.75</v>
      </c>
      <c r="P34" s="8">
        <f t="shared" si="3"/>
        <v>-43.5</v>
      </c>
      <c r="Q34" s="8"/>
    </row>
    <row r="35" spans="2:17" ht="15.75" customHeight="1">
      <c r="B35" s="40"/>
      <c r="C35" s="41"/>
      <c r="D35" s="41"/>
      <c r="E35" s="42"/>
      <c r="F35" s="8"/>
      <c r="G35" s="40"/>
      <c r="H35" s="40"/>
      <c r="I35" s="40"/>
      <c r="J35" s="40"/>
      <c r="M35" s="8"/>
      <c r="N35" s="8"/>
      <c r="O35" s="8"/>
      <c r="P35" s="8"/>
      <c r="Q35" s="8"/>
    </row>
    <row r="36" spans="2:17" ht="15.75">
      <c r="B36" s="43"/>
      <c r="C36" s="44" t="s">
        <v>48</v>
      </c>
      <c r="D36" s="45" t="s">
        <v>49</v>
      </c>
      <c r="E36" s="44" t="s">
        <v>50</v>
      </c>
      <c r="F36" s="13"/>
      <c r="G36" s="43"/>
      <c r="H36" s="44" t="s">
        <v>61</v>
      </c>
      <c r="I36" s="45" t="s">
        <v>49</v>
      </c>
      <c r="J36" s="45" t="s">
        <v>50</v>
      </c>
      <c r="K36" s="8"/>
      <c r="M36" s="8"/>
      <c r="N36" s="8">
        <f>N34+1</f>
        <v>21</v>
      </c>
      <c r="O36" s="8">
        <v>0.75</v>
      </c>
      <c r="P36" s="8">
        <f>P34-O36</f>
        <v>-44.25</v>
      </c>
      <c r="Q36" s="8"/>
    </row>
    <row r="37" spans="2:17">
      <c r="B37" s="7" t="s">
        <v>51</v>
      </c>
      <c r="C37" s="9">
        <f>(C11-C15)/(C16/12)</f>
        <v>12500</v>
      </c>
      <c r="D37" s="9"/>
      <c r="E37" s="46">
        <f>C37+D37</f>
        <v>12500</v>
      </c>
      <c r="F37" s="9"/>
      <c r="G37" s="7" t="s">
        <v>51</v>
      </c>
      <c r="H37" s="9"/>
      <c r="I37" s="9">
        <f>(((C11-C13*C14)*100/121+C13*C14)-((C15-P144)*100/121+P144))/(C16/12)</f>
        <v>10419.10590413223</v>
      </c>
      <c r="J37" s="48">
        <f>I37+H37</f>
        <v>10419.10590413223</v>
      </c>
      <c r="K37" s="8"/>
      <c r="M37" s="8"/>
      <c r="N37" s="8">
        <f t="shared" si="2"/>
        <v>22</v>
      </c>
      <c r="O37" s="8">
        <v>0.75</v>
      </c>
      <c r="P37" s="8">
        <f t="shared" si="3"/>
        <v>-45</v>
      </c>
      <c r="Q37" s="8"/>
    </row>
    <row r="38" spans="2:17">
      <c r="B38" s="7" t="s">
        <v>52</v>
      </c>
      <c r="C38" s="9">
        <f>($C$11+$C$15)/2*$C$20</f>
        <v>3750</v>
      </c>
      <c r="D38" s="9"/>
      <c r="E38" s="46">
        <f t="shared" ref="E38:E45" si="5">C38+D38</f>
        <v>3750</v>
      </c>
      <c r="F38" s="9"/>
      <c r="G38" s="7" t="s">
        <v>52</v>
      </c>
      <c r="H38" s="9"/>
      <c r="I38" s="9">
        <f>(((($C$11-$C$13*$C$14)*100/121+$C$13*$C$14))+$C$15)/2*$C$20</f>
        <v>3330.989256198347</v>
      </c>
      <c r="J38" s="48">
        <f t="shared" ref="J38:J44" si="6">I38+H38</f>
        <v>3330.989256198347</v>
      </c>
      <c r="K38" s="9"/>
      <c r="M38" s="8" t="s">
        <v>0</v>
      </c>
      <c r="N38" s="8">
        <f t="shared" si="2"/>
        <v>23</v>
      </c>
      <c r="O38" s="8">
        <f t="shared" ref="O38:O52" si="7">O37</f>
        <v>0.75</v>
      </c>
      <c r="P38" s="8">
        <f t="shared" si="3"/>
        <v>-45.75</v>
      </c>
      <c r="Q38" s="8"/>
    </row>
    <row r="39" spans="2:17">
      <c r="B39" s="7" t="s">
        <v>53</v>
      </c>
      <c r="C39" s="9">
        <f>C17+C18++C19</f>
        <v>2950</v>
      </c>
      <c r="D39" s="9"/>
      <c r="E39" s="46">
        <f t="shared" si="5"/>
        <v>2950</v>
      </c>
      <c r="F39" s="9"/>
      <c r="G39" s="7" t="str">
        <f>B39</f>
        <v>Verzekering/MRB/onderhoud</v>
      </c>
      <c r="H39" s="9"/>
      <c r="I39" s="9">
        <f>C17*100/121+C18+C19</f>
        <v>2811.1570247933887</v>
      </c>
      <c r="J39" s="48">
        <f t="shared" si="6"/>
        <v>2811.1570247933887</v>
      </c>
      <c r="K39" s="9"/>
      <c r="M39" s="8" t="s">
        <v>0</v>
      </c>
      <c r="N39" s="8">
        <f t="shared" si="2"/>
        <v>24</v>
      </c>
      <c r="O39" s="8">
        <f t="shared" si="7"/>
        <v>0.75</v>
      </c>
      <c r="P39" s="8">
        <f t="shared" si="3"/>
        <v>-46.5</v>
      </c>
      <c r="Q39" s="8"/>
    </row>
    <row r="40" spans="2:17">
      <c r="B40" s="7" t="s">
        <v>54</v>
      </c>
      <c r="C40" s="9">
        <f>(C23+C24)/100*C21*C22</f>
        <v>4620</v>
      </c>
      <c r="D40" s="9" t="s">
        <v>0</v>
      </c>
      <c r="E40" s="46"/>
      <c r="F40" s="9"/>
      <c r="G40" s="7" t="str">
        <f>B40</f>
        <v>Brandstof</v>
      </c>
      <c r="H40" s="9"/>
      <c r="I40" s="9">
        <f>C40*100/121</f>
        <v>3818.181818181818</v>
      </c>
      <c r="J40" s="48">
        <f t="shared" si="6"/>
        <v>3818.181818181818</v>
      </c>
      <c r="K40" s="9"/>
      <c r="M40" s="8" t="s">
        <v>0</v>
      </c>
      <c r="N40" s="8">
        <f t="shared" si="2"/>
        <v>25</v>
      </c>
      <c r="O40" s="8">
        <f t="shared" si="7"/>
        <v>0.75</v>
      </c>
      <c r="P40" s="8">
        <f t="shared" si="3"/>
        <v>-47.25</v>
      </c>
      <c r="Q40" s="8"/>
    </row>
    <row r="41" spans="2:17" ht="15.75">
      <c r="B41" s="43" t="s">
        <v>55</v>
      </c>
      <c r="C41" s="44">
        <f>SUM(C37:C40)</f>
        <v>23820</v>
      </c>
      <c r="D41" s="45"/>
      <c r="E41" s="44">
        <f t="shared" si="5"/>
        <v>23820</v>
      </c>
      <c r="F41" s="9"/>
      <c r="G41" s="7" t="s">
        <v>62</v>
      </c>
      <c r="H41" s="9"/>
      <c r="I41" s="9">
        <f>0.027*C12</f>
        <v>2700</v>
      </c>
      <c r="J41" s="48">
        <f t="shared" si="6"/>
        <v>2700</v>
      </c>
      <c r="K41" s="9"/>
      <c r="M41" s="8" t="s">
        <v>0</v>
      </c>
      <c r="N41" s="8">
        <f t="shared" si="2"/>
        <v>26</v>
      </c>
      <c r="O41" s="8">
        <f t="shared" si="7"/>
        <v>0.75</v>
      </c>
      <c r="P41" s="8">
        <f t="shared" si="3"/>
        <v>-48</v>
      </c>
      <c r="Q41" s="8"/>
    </row>
    <row r="42" spans="2:17">
      <c r="B42" s="7" t="s">
        <v>56</v>
      </c>
      <c r="C42" s="9">
        <f>C24*-C25</f>
        <v>-4600</v>
      </c>
      <c r="D42" s="9">
        <f>-C42</f>
        <v>4600</v>
      </c>
      <c r="E42" s="46">
        <f t="shared" si="5"/>
        <v>0</v>
      </c>
      <c r="F42" s="9"/>
      <c r="G42" s="8" t="str">
        <f>B43</f>
        <v xml:space="preserve">Inkomsten-/Vennootschapsbelasting </v>
      </c>
      <c r="H42" s="9"/>
      <c r="I42" s="9">
        <f>(SUM(I37:I41)+C28)*-C30</f>
        <v>-4385.0924606280987</v>
      </c>
      <c r="J42" s="48">
        <f t="shared" si="6"/>
        <v>-4385.0924606280987</v>
      </c>
      <c r="K42" s="9"/>
      <c r="M42" s="8" t="s">
        <v>0</v>
      </c>
      <c r="N42" s="8">
        <f t="shared" si="2"/>
        <v>27</v>
      </c>
      <c r="O42" s="8">
        <f t="shared" si="7"/>
        <v>0.75</v>
      </c>
      <c r="P42" s="8">
        <f t="shared" si="3"/>
        <v>-48.75</v>
      </c>
    </row>
    <row r="43" spans="2:17">
      <c r="B43" s="7" t="s">
        <v>57</v>
      </c>
      <c r="C43" s="9"/>
      <c r="D43" s="16">
        <f>D42*-C30</f>
        <v>-874</v>
      </c>
      <c r="E43" s="46">
        <f t="shared" si="5"/>
        <v>-874</v>
      </c>
      <c r="F43" s="9"/>
      <c r="G43" s="8" t="str">
        <f>B44</f>
        <v>Inkomstenbelasting box 2</v>
      </c>
      <c r="H43" s="9"/>
      <c r="I43" s="9">
        <f>SUM(I37:I42)*-C31</f>
        <v>-4580.1136779560329</v>
      </c>
      <c r="J43" s="48">
        <f t="shared" si="6"/>
        <v>-4580.1136779560329</v>
      </c>
      <c r="K43" s="9" t="s">
        <v>0</v>
      </c>
      <c r="M43" s="8"/>
      <c r="N43" s="8">
        <f t="shared" si="2"/>
        <v>28</v>
      </c>
      <c r="O43" s="8">
        <f t="shared" si="7"/>
        <v>0.75</v>
      </c>
      <c r="P43" s="8">
        <f t="shared" si="3"/>
        <v>-49.5</v>
      </c>
    </row>
    <row r="44" spans="2:17">
      <c r="B44" s="7" t="s">
        <v>58</v>
      </c>
      <c r="C44" s="9"/>
      <c r="D44" s="9">
        <f>(D42+D43)*-C31</f>
        <v>-912.87</v>
      </c>
      <c r="E44" s="46">
        <f t="shared" si="5"/>
        <v>-912.87</v>
      </c>
      <c r="F44" s="9"/>
      <c r="G44" s="7" t="s">
        <v>63</v>
      </c>
      <c r="H44" s="9">
        <f>IF(C23&gt;500,Blad1!G18*C29,0)</f>
        <v>10890</v>
      </c>
      <c r="I44" s="9"/>
      <c r="J44" s="48">
        <f t="shared" si="6"/>
        <v>10890</v>
      </c>
      <c r="K44" s="8"/>
      <c r="M44" s="8"/>
      <c r="N44" s="8">
        <f t="shared" si="2"/>
        <v>29</v>
      </c>
      <c r="O44" s="8">
        <f t="shared" si="7"/>
        <v>0.75</v>
      </c>
      <c r="P44" s="8">
        <f t="shared" si="3"/>
        <v>-50.25</v>
      </c>
    </row>
    <row r="45" spans="2:17">
      <c r="B45" s="8"/>
      <c r="C45" s="9"/>
      <c r="D45" s="9"/>
      <c r="E45" s="46">
        <f t="shared" si="5"/>
        <v>0</v>
      </c>
      <c r="F45" s="9"/>
      <c r="J45" s="9" t="s">
        <v>0</v>
      </c>
      <c r="K45" s="9"/>
      <c r="M45" s="8"/>
      <c r="N45" s="8">
        <f t="shared" si="2"/>
        <v>30</v>
      </c>
      <c r="O45" s="8">
        <f t="shared" ref="O45:O57" si="8">O44</f>
        <v>0.75</v>
      </c>
      <c r="P45" s="70">
        <f t="shared" si="3"/>
        <v>-51</v>
      </c>
    </row>
    <row r="46" spans="2:17" ht="15.75">
      <c r="B46" s="43" t="s">
        <v>59</v>
      </c>
      <c r="C46" s="44">
        <f>SUM(C41:C45)</f>
        <v>19220</v>
      </c>
      <c r="D46" s="44">
        <f>SUM(D41:D45)</f>
        <v>2813.13</v>
      </c>
      <c r="E46" s="44">
        <f>SUM(C46+D46)</f>
        <v>22033.13</v>
      </c>
      <c r="F46" s="9"/>
      <c r="G46" s="43" t="s">
        <v>64</v>
      </c>
      <c r="H46" s="44">
        <f>SUM(H37:H44)</f>
        <v>10890</v>
      </c>
      <c r="I46" s="44">
        <f>SUM(I37:I44)</f>
        <v>14114.227864721652</v>
      </c>
      <c r="J46" s="44">
        <f>SUM(H46+I46)</f>
        <v>25004.227864721652</v>
      </c>
      <c r="K46" s="9"/>
      <c r="M46" s="8"/>
      <c r="N46" s="8">
        <f>N45+1</f>
        <v>31</v>
      </c>
      <c r="O46" s="8">
        <v>0.5</v>
      </c>
      <c r="P46" s="8">
        <f>P45-O46</f>
        <v>-51.5</v>
      </c>
    </row>
    <row r="47" spans="2:17">
      <c r="B47" s="8"/>
      <c r="C47" s="9"/>
      <c r="D47" s="9"/>
      <c r="E47" s="9"/>
      <c r="F47" s="9"/>
      <c r="G47" s="8"/>
      <c r="H47" s="9"/>
      <c r="I47" s="9"/>
      <c r="J47" s="9"/>
      <c r="K47" s="9"/>
      <c r="M47" s="8"/>
      <c r="N47" s="8">
        <f t="shared" si="2"/>
        <v>32</v>
      </c>
      <c r="O47" s="8">
        <f t="shared" si="7"/>
        <v>0.5</v>
      </c>
      <c r="P47" s="8">
        <f t="shared" si="3"/>
        <v>-52</v>
      </c>
    </row>
    <row r="48" spans="2:17" ht="18">
      <c r="B48" s="8" t="s">
        <v>60</v>
      </c>
      <c r="C48" s="9"/>
      <c r="D48" s="9"/>
      <c r="E48" s="47">
        <f>E46*(C16/12)</f>
        <v>88132.52</v>
      </c>
      <c r="F48" s="9"/>
      <c r="G48" s="8" t="s">
        <v>60</v>
      </c>
      <c r="H48" s="9"/>
      <c r="I48" s="8"/>
      <c r="J48" s="47">
        <f>J46+(J46+C28*C30/100+(C28*C30/100)*-0.2625)*((C16-12)/12)</f>
        <v>100016.91145888661</v>
      </c>
      <c r="K48" s="8"/>
      <c r="M48" s="8"/>
      <c r="N48" s="8">
        <f t="shared" si="2"/>
        <v>33</v>
      </c>
      <c r="O48" s="8">
        <f t="shared" si="7"/>
        <v>0.5</v>
      </c>
      <c r="P48" s="8">
        <f t="shared" si="3"/>
        <v>-52.5</v>
      </c>
    </row>
    <row r="49" spans="2:18">
      <c r="B49" s="8"/>
      <c r="C49" s="9"/>
      <c r="D49" s="9"/>
      <c r="E49" s="9"/>
      <c r="F49" s="9"/>
      <c r="G49" s="9"/>
      <c r="H49" s="9"/>
      <c r="I49" s="9"/>
      <c r="J49" s="9"/>
      <c r="K49" s="9"/>
      <c r="L49" s="9"/>
      <c r="M49" s="8"/>
      <c r="N49" s="8">
        <f t="shared" si="2"/>
        <v>34</v>
      </c>
      <c r="O49" s="8">
        <f t="shared" si="7"/>
        <v>0.5</v>
      </c>
      <c r="P49" s="8">
        <f t="shared" si="3"/>
        <v>-53</v>
      </c>
    </row>
    <row r="50" spans="2:18">
      <c r="D50" s="3"/>
      <c r="H50" s="9"/>
      <c r="I50" s="9"/>
      <c r="J50" s="9"/>
      <c r="K50" s="9"/>
      <c r="L50" s="9"/>
      <c r="M50" s="8"/>
      <c r="N50" s="8">
        <f t="shared" si="2"/>
        <v>35</v>
      </c>
      <c r="O50" s="8">
        <f t="shared" si="7"/>
        <v>0.5</v>
      </c>
      <c r="P50" s="8">
        <f t="shared" si="3"/>
        <v>-53.5</v>
      </c>
    </row>
    <row r="51" spans="2:18">
      <c r="H51" s="22"/>
      <c r="I51" s="22"/>
      <c r="J51" s="22"/>
      <c r="K51" s="22"/>
      <c r="L51" s="22"/>
      <c r="M51" s="8"/>
      <c r="N51" s="8">
        <f t="shared" si="2"/>
        <v>36</v>
      </c>
      <c r="O51" s="8">
        <f t="shared" si="7"/>
        <v>0.5</v>
      </c>
      <c r="P51" s="8">
        <f t="shared" si="3"/>
        <v>-54</v>
      </c>
    </row>
    <row r="52" spans="2:18">
      <c r="C52" s="24"/>
      <c r="H52" s="9"/>
      <c r="I52" s="9"/>
      <c r="J52" s="9"/>
      <c r="K52" s="9"/>
      <c r="L52" s="9"/>
      <c r="M52" s="8"/>
      <c r="N52" s="8">
        <f t="shared" si="2"/>
        <v>37</v>
      </c>
      <c r="O52" s="8">
        <f t="shared" si="7"/>
        <v>0.5</v>
      </c>
      <c r="P52" s="8">
        <f t="shared" si="3"/>
        <v>-54.5</v>
      </c>
    </row>
    <row r="53" spans="2:18">
      <c r="H53" s="9"/>
      <c r="I53" s="9"/>
      <c r="J53" s="9"/>
      <c r="K53" s="9"/>
      <c r="L53" s="9"/>
      <c r="M53" s="8"/>
      <c r="N53" s="8">
        <f t="shared" si="2"/>
        <v>38</v>
      </c>
      <c r="O53" s="8">
        <f t="shared" si="8"/>
        <v>0.5</v>
      </c>
      <c r="P53" s="8">
        <f t="shared" si="3"/>
        <v>-55</v>
      </c>
      <c r="R53" s="2">
        <f>57+0.42*6</f>
        <v>59.52</v>
      </c>
    </row>
    <row r="54" spans="2:18">
      <c r="H54" s="9"/>
      <c r="I54" s="9"/>
      <c r="J54" s="9"/>
      <c r="K54" s="9"/>
      <c r="L54" s="9"/>
      <c r="M54" s="8"/>
      <c r="N54" s="8">
        <f t="shared" si="2"/>
        <v>39</v>
      </c>
      <c r="O54" s="8">
        <f t="shared" si="8"/>
        <v>0.5</v>
      </c>
      <c r="P54" s="8">
        <f t="shared" si="3"/>
        <v>-55.5</v>
      </c>
    </row>
    <row r="55" spans="2:18" hidden="1">
      <c r="H55" s="9"/>
      <c r="I55" s="9"/>
      <c r="J55" s="9"/>
      <c r="K55" s="9"/>
      <c r="L55" s="9"/>
      <c r="M55" s="8"/>
      <c r="N55" s="8">
        <f t="shared" si="2"/>
        <v>40</v>
      </c>
      <c r="O55" s="8">
        <f t="shared" si="8"/>
        <v>0.5</v>
      </c>
      <c r="P55" s="8">
        <f t="shared" si="3"/>
        <v>-56</v>
      </c>
    </row>
    <row r="56" spans="2:18" hidden="1">
      <c r="G56" s="3">
        <f>C11</f>
        <v>100000</v>
      </c>
      <c r="H56" s="9">
        <f>C15</f>
        <v>50000</v>
      </c>
      <c r="I56" s="9"/>
      <c r="J56" s="9"/>
      <c r="K56" s="9"/>
      <c r="L56" s="9"/>
      <c r="M56" s="8"/>
      <c r="N56" s="8">
        <f t="shared" si="2"/>
        <v>41</v>
      </c>
      <c r="O56" s="8">
        <f t="shared" si="8"/>
        <v>0.5</v>
      </c>
      <c r="P56" s="8">
        <f t="shared" si="3"/>
        <v>-56.5</v>
      </c>
    </row>
    <row r="57" spans="2:18" hidden="1">
      <c r="G57" s="3">
        <f>C13</f>
        <v>3428</v>
      </c>
      <c r="H57" s="9">
        <f>P144</f>
        <v>1387.6543999999999</v>
      </c>
      <c r="I57" s="9"/>
      <c r="J57" s="9"/>
      <c r="K57" s="9"/>
      <c r="L57" s="9"/>
      <c r="M57" s="9" t="s">
        <v>0</v>
      </c>
      <c r="N57" s="8">
        <f t="shared" si="2"/>
        <v>42</v>
      </c>
      <c r="O57" s="8">
        <f t="shared" si="8"/>
        <v>0.5</v>
      </c>
      <c r="P57" s="70">
        <f t="shared" si="3"/>
        <v>-57</v>
      </c>
    </row>
    <row r="58" spans="2:18" hidden="1">
      <c r="G58" s="3">
        <f>G56-G57</f>
        <v>96572</v>
      </c>
      <c r="H58" s="9">
        <f>H56-H57</f>
        <v>48612.345600000001</v>
      </c>
      <c r="I58" s="9"/>
      <c r="J58" s="9"/>
      <c r="K58" s="9"/>
      <c r="L58" s="9"/>
      <c r="M58" s="8" t="s">
        <v>0</v>
      </c>
      <c r="N58" s="8">
        <f t="shared" si="2"/>
        <v>43</v>
      </c>
      <c r="O58" s="8">
        <v>0.42</v>
      </c>
      <c r="P58" s="8">
        <f t="shared" si="3"/>
        <v>-57.42</v>
      </c>
    </row>
    <row r="59" spans="2:18" hidden="1">
      <c r="G59" s="3">
        <f>G58/1.21</f>
        <v>79811.57024793388</v>
      </c>
      <c r="H59" s="9">
        <f>H58/1.21</f>
        <v>40175.492231404962</v>
      </c>
      <c r="I59" s="9"/>
      <c r="J59" s="9"/>
      <c r="K59" s="9"/>
      <c r="L59" s="9"/>
      <c r="M59" s="8"/>
      <c r="N59" s="8">
        <f t="shared" si="2"/>
        <v>44</v>
      </c>
      <c r="O59" s="8">
        <v>0.42</v>
      </c>
      <c r="P59" s="8">
        <f t="shared" si="3"/>
        <v>-57.84</v>
      </c>
    </row>
    <row r="60" spans="2:18" hidden="1">
      <c r="G60" s="3">
        <f>G57</f>
        <v>3428</v>
      </c>
      <c r="H60" s="9">
        <f>H57</f>
        <v>1387.6543999999999</v>
      </c>
      <c r="I60" s="9"/>
      <c r="J60" s="9"/>
      <c r="K60" s="9"/>
      <c r="L60" s="9"/>
      <c r="M60" s="8" t="s">
        <v>65</v>
      </c>
      <c r="N60" s="8">
        <f t="shared" ref="N60:N75" si="9">N59+1</f>
        <v>45</v>
      </c>
      <c r="O60" s="8">
        <v>0.42</v>
      </c>
      <c r="P60" s="8">
        <f t="shared" ref="P60:P75" si="10">P59-O60</f>
        <v>-58.260000000000005</v>
      </c>
    </row>
    <row r="61" spans="2:18" hidden="1">
      <c r="G61" s="3">
        <f>G59+G60</f>
        <v>83239.57024793388</v>
      </c>
      <c r="H61" s="9">
        <f>H59+H60</f>
        <v>41563.146631404961</v>
      </c>
      <c r="I61" s="9"/>
      <c r="J61" s="9"/>
      <c r="K61" s="9"/>
      <c r="L61" s="9"/>
      <c r="M61" s="8"/>
      <c r="N61" s="8">
        <f t="shared" si="9"/>
        <v>46</v>
      </c>
      <c r="O61" s="8">
        <v>0.42</v>
      </c>
      <c r="P61" s="8">
        <f t="shared" si="10"/>
        <v>-58.680000000000007</v>
      </c>
    </row>
    <row r="62" spans="2:18" hidden="1">
      <c r="H62" s="23"/>
      <c r="I62" s="23"/>
      <c r="J62" s="23"/>
      <c r="K62" s="23"/>
      <c r="L62" s="23"/>
      <c r="M62" s="8" t="s">
        <v>0</v>
      </c>
      <c r="N62" s="8">
        <f t="shared" si="9"/>
        <v>47</v>
      </c>
      <c r="O62" s="8">
        <v>0.42</v>
      </c>
      <c r="P62" s="8">
        <f t="shared" si="10"/>
        <v>-59.100000000000009</v>
      </c>
    </row>
    <row r="63" spans="2:18" hidden="1">
      <c r="B63" s="8"/>
      <c r="C63" s="9"/>
      <c r="D63" s="8"/>
      <c r="E63" s="8"/>
      <c r="F63" s="8"/>
      <c r="G63" s="9" t="s">
        <v>0</v>
      </c>
      <c r="H63" s="9"/>
      <c r="I63" s="9"/>
      <c r="J63" s="9"/>
      <c r="K63" s="9"/>
      <c r="L63" s="9"/>
      <c r="M63" s="8" t="s">
        <v>0</v>
      </c>
      <c r="N63" s="8">
        <f t="shared" si="9"/>
        <v>48</v>
      </c>
      <c r="O63" s="8">
        <v>0.42</v>
      </c>
      <c r="P63" s="8">
        <f t="shared" si="10"/>
        <v>-59.52000000000001</v>
      </c>
    </row>
    <row r="64" spans="2:18" hidden="1">
      <c r="B64" s="8"/>
      <c r="C64" s="9"/>
      <c r="D64" s="8"/>
      <c r="E64" s="8"/>
      <c r="F64" s="8"/>
      <c r="G64" s="8"/>
      <c r="H64" s="9">
        <f>G61-H61</f>
        <v>41676.423616528919</v>
      </c>
      <c r="I64" s="8"/>
      <c r="J64" s="8"/>
      <c r="K64" s="8"/>
      <c r="L64" s="8"/>
      <c r="M64" s="8" t="s">
        <v>0</v>
      </c>
      <c r="N64" s="8">
        <f t="shared" si="9"/>
        <v>49</v>
      </c>
      <c r="O64" s="8">
        <v>0.42</v>
      </c>
      <c r="P64" s="8">
        <f t="shared" si="10"/>
        <v>-59.940000000000012</v>
      </c>
    </row>
    <row r="65" spans="2:16" hidden="1">
      <c r="B65" s="8"/>
      <c r="C65" s="9"/>
      <c r="D65" s="8"/>
      <c r="E65" s="8"/>
      <c r="F65" s="8"/>
      <c r="G65" s="8"/>
      <c r="H65" s="8"/>
      <c r="I65" s="8"/>
      <c r="J65" s="8"/>
      <c r="K65" s="8"/>
      <c r="L65" s="8"/>
      <c r="M65" s="8"/>
      <c r="N65" s="8">
        <f t="shared" si="9"/>
        <v>50</v>
      </c>
      <c r="O65" s="8">
        <v>0.42</v>
      </c>
      <c r="P65" s="8">
        <f t="shared" si="10"/>
        <v>-60.360000000000014</v>
      </c>
    </row>
    <row r="66" spans="2:16" hidden="1">
      <c r="B66" s="8"/>
      <c r="C66" s="9"/>
      <c r="D66" s="8"/>
      <c r="E66" s="8"/>
      <c r="F66" s="8"/>
      <c r="G66" s="8"/>
      <c r="H66" s="8"/>
      <c r="I66" s="8"/>
      <c r="J66" s="8"/>
      <c r="K66" s="8"/>
      <c r="L66" s="8"/>
      <c r="M66" s="8"/>
      <c r="N66" s="8">
        <f>N65+1</f>
        <v>51</v>
      </c>
      <c r="O66" s="8">
        <v>0.42</v>
      </c>
      <c r="P66" s="8">
        <f>P65-O66</f>
        <v>-60.780000000000015</v>
      </c>
    </row>
    <row r="67" spans="2:16" hidden="1">
      <c r="B67" s="8"/>
      <c r="C67" s="9"/>
      <c r="D67" s="8"/>
      <c r="E67" s="8"/>
      <c r="F67" s="8"/>
      <c r="G67" s="8"/>
      <c r="H67" s="8">
        <f>H64/4</f>
        <v>10419.10590413223</v>
      </c>
      <c r="I67" s="8"/>
      <c r="J67" s="8"/>
      <c r="K67" s="8"/>
      <c r="L67" s="8"/>
      <c r="M67" s="8"/>
      <c r="N67" s="8">
        <f t="shared" si="9"/>
        <v>52</v>
      </c>
      <c r="O67" s="8">
        <v>0.42</v>
      </c>
      <c r="P67" s="8">
        <f t="shared" si="10"/>
        <v>-61.200000000000017</v>
      </c>
    </row>
    <row r="68" spans="2:16" hidden="1">
      <c r="B68" s="25"/>
      <c r="C68" s="9"/>
      <c r="D68" s="8"/>
      <c r="E68" s="8"/>
      <c r="F68" s="8"/>
      <c r="G68" s="8"/>
      <c r="H68" s="8"/>
      <c r="I68" s="8"/>
      <c r="J68" s="8"/>
      <c r="K68" s="8"/>
      <c r="L68" s="8"/>
      <c r="M68" s="8"/>
      <c r="N68" s="8">
        <f t="shared" si="9"/>
        <v>53</v>
      </c>
      <c r="O68" s="8">
        <v>0.42</v>
      </c>
      <c r="P68" s="8">
        <f t="shared" si="10"/>
        <v>-61.620000000000019</v>
      </c>
    </row>
    <row r="69" spans="2:16" hidden="1">
      <c r="B69" s="25"/>
      <c r="C69" s="9"/>
      <c r="D69" s="8"/>
      <c r="E69" s="8"/>
      <c r="F69" s="8"/>
      <c r="G69" s="8"/>
      <c r="H69" s="8"/>
      <c r="I69" s="8"/>
      <c r="J69" s="8"/>
      <c r="K69" s="8"/>
      <c r="L69" s="8"/>
      <c r="M69" s="8"/>
      <c r="N69" s="8">
        <f t="shared" si="9"/>
        <v>54</v>
      </c>
      <c r="O69" s="8">
        <v>0.42</v>
      </c>
      <c r="P69" s="69">
        <v>-62</v>
      </c>
    </row>
    <row r="70" spans="2:16">
      <c r="B70" s="25"/>
      <c r="C70" s="9"/>
      <c r="D70" s="8"/>
      <c r="E70" s="8"/>
      <c r="F70" s="8"/>
      <c r="G70" s="8"/>
      <c r="H70" s="8"/>
      <c r="I70" s="8"/>
      <c r="J70" s="8"/>
      <c r="K70" s="8"/>
      <c r="L70" s="8"/>
      <c r="M70" s="8"/>
      <c r="N70" s="8">
        <f t="shared" si="9"/>
        <v>55</v>
      </c>
      <c r="O70" s="8">
        <v>0.42</v>
      </c>
      <c r="P70" s="8">
        <f t="shared" si="10"/>
        <v>-62.42</v>
      </c>
    </row>
    <row r="71" spans="2:16">
      <c r="B71" s="25"/>
      <c r="C71" s="9"/>
      <c r="D71" s="8"/>
      <c r="E71" s="8"/>
      <c r="F71" s="8"/>
      <c r="G71" s="8"/>
      <c r="H71" s="8"/>
      <c r="I71" s="8"/>
      <c r="J71" s="8"/>
      <c r="K71" s="8"/>
      <c r="L71" s="8"/>
      <c r="M71" s="8"/>
      <c r="N71" s="8">
        <f t="shared" si="9"/>
        <v>56</v>
      </c>
      <c r="O71" s="8">
        <v>0.42</v>
      </c>
      <c r="P71" s="8">
        <f t="shared" si="10"/>
        <v>-62.84</v>
      </c>
    </row>
    <row r="72" spans="2:16">
      <c r="B72" s="25"/>
      <c r="C72" s="9"/>
      <c r="D72" s="8"/>
      <c r="E72" s="8"/>
      <c r="F72" s="8"/>
      <c r="G72" s="8"/>
      <c r="H72" s="8"/>
      <c r="I72" s="8"/>
      <c r="J72" s="8"/>
      <c r="K72" s="8"/>
      <c r="L72" s="8"/>
      <c r="M72" s="8"/>
      <c r="N72" s="8">
        <f t="shared" si="9"/>
        <v>57</v>
      </c>
      <c r="O72" s="8">
        <v>0.42</v>
      </c>
      <c r="P72" s="8">
        <f t="shared" si="10"/>
        <v>-63.260000000000005</v>
      </c>
    </row>
    <row r="73" spans="2:16">
      <c r="B73" s="25"/>
      <c r="C73" s="9"/>
      <c r="D73" s="8"/>
      <c r="E73" s="8"/>
      <c r="F73" s="8"/>
      <c r="G73" s="8"/>
      <c r="H73" s="8"/>
      <c r="I73" s="8"/>
      <c r="J73" s="8"/>
      <c r="K73" s="8"/>
      <c r="L73" s="8"/>
      <c r="M73" s="8"/>
      <c r="N73" s="8">
        <f t="shared" si="9"/>
        <v>58</v>
      </c>
      <c r="O73" s="8">
        <v>0.42</v>
      </c>
      <c r="P73" s="8">
        <f t="shared" si="10"/>
        <v>-63.680000000000007</v>
      </c>
    </row>
    <row r="74" spans="2:16">
      <c r="B74" s="25"/>
      <c r="C74" s="9"/>
      <c r="D74" s="8"/>
      <c r="E74" s="8"/>
      <c r="F74" s="8"/>
      <c r="G74" s="8"/>
      <c r="H74" s="8"/>
      <c r="I74" s="8"/>
      <c r="J74" s="8"/>
      <c r="K74" s="8"/>
      <c r="L74" s="8"/>
      <c r="M74" s="8"/>
      <c r="N74" s="8">
        <f t="shared" si="9"/>
        <v>59</v>
      </c>
      <c r="O74" s="8">
        <v>0.42</v>
      </c>
      <c r="P74" s="8">
        <f t="shared" si="10"/>
        <v>-64.100000000000009</v>
      </c>
    </row>
    <row r="75" spans="2:16">
      <c r="B75" s="25"/>
      <c r="C75" s="9"/>
      <c r="D75" s="8"/>
      <c r="E75" s="8"/>
      <c r="F75" s="8"/>
      <c r="G75" s="8"/>
      <c r="H75" s="8"/>
      <c r="I75" s="8"/>
      <c r="J75" s="8"/>
      <c r="K75" s="8"/>
      <c r="L75" s="8"/>
      <c r="M75" s="8"/>
      <c r="N75" s="8">
        <f t="shared" si="9"/>
        <v>60</v>
      </c>
      <c r="O75" s="8">
        <v>0.42</v>
      </c>
      <c r="P75" s="8">
        <f t="shared" si="10"/>
        <v>-64.52000000000001</v>
      </c>
    </row>
    <row r="76" spans="2:16">
      <c r="B76" s="25"/>
      <c r="C76" s="9"/>
      <c r="D76" s="8"/>
      <c r="E76" s="8"/>
      <c r="F76" s="8"/>
      <c r="G76" s="8"/>
      <c r="H76" s="8"/>
      <c r="I76" s="8"/>
      <c r="J76" s="8"/>
      <c r="K76" s="8"/>
      <c r="L76" s="8"/>
      <c r="M76" s="8"/>
      <c r="N76" s="8">
        <f>N75+1</f>
        <v>61</v>
      </c>
      <c r="O76" s="8">
        <v>0.42</v>
      </c>
      <c r="P76" s="8">
        <f>P75-O76</f>
        <v>-64.940000000000012</v>
      </c>
    </row>
    <row r="77" spans="2:16">
      <c r="B77" s="25"/>
      <c r="C77" s="9"/>
      <c r="D77" s="8"/>
      <c r="E77" s="8"/>
      <c r="F77" s="8"/>
      <c r="G77" s="8"/>
      <c r="H77" s="8"/>
      <c r="I77" s="8"/>
      <c r="J77" s="8"/>
      <c r="K77" s="8"/>
      <c r="L77" s="8"/>
      <c r="M77" s="8"/>
      <c r="N77" s="8">
        <f>N76+1</f>
        <v>62</v>
      </c>
      <c r="O77" s="8">
        <v>0.42</v>
      </c>
      <c r="P77" s="8">
        <f>P76-O77</f>
        <v>-65.360000000000014</v>
      </c>
    </row>
    <row r="78" spans="2:16">
      <c r="B78" s="8"/>
      <c r="C78" s="9"/>
      <c r="D78" s="8"/>
      <c r="E78" s="8"/>
      <c r="F78" s="8"/>
      <c r="G78" s="8"/>
      <c r="H78" s="8"/>
      <c r="I78" s="8"/>
      <c r="J78" s="8"/>
      <c r="K78" s="8"/>
      <c r="L78" s="8"/>
      <c r="M78" s="8"/>
      <c r="N78" s="8">
        <f>N77+1</f>
        <v>63</v>
      </c>
      <c r="O78" s="8">
        <v>0.42</v>
      </c>
      <c r="P78" s="8">
        <f>P77-O78</f>
        <v>-65.780000000000015</v>
      </c>
    </row>
    <row r="79" spans="2:16">
      <c r="B79" s="8"/>
      <c r="C79" s="9"/>
      <c r="D79" s="8"/>
      <c r="E79" s="8"/>
      <c r="F79" s="8"/>
      <c r="G79" s="8"/>
      <c r="H79" s="8"/>
      <c r="I79" s="8"/>
      <c r="J79" s="8"/>
      <c r="K79" s="8"/>
      <c r="L79" s="8"/>
      <c r="M79" s="8"/>
      <c r="N79" s="8">
        <f>N78+1</f>
        <v>64</v>
      </c>
      <c r="O79" s="8">
        <v>0.42</v>
      </c>
      <c r="P79" s="8">
        <f>P78-O79</f>
        <v>-66.200000000000017</v>
      </c>
    </row>
    <row r="80" spans="2:16">
      <c r="B80" s="8"/>
      <c r="C80" s="9"/>
      <c r="D80" s="8"/>
      <c r="E80" s="8"/>
      <c r="F80" s="8"/>
      <c r="G80" s="8"/>
      <c r="H80" s="8"/>
      <c r="I80" s="8"/>
      <c r="J80" s="8"/>
      <c r="K80" s="8"/>
      <c r="L80" s="8"/>
      <c r="M80" s="8"/>
      <c r="N80" s="8">
        <f t="shared" ref="N80:N88" si="11">N79+1</f>
        <v>65</v>
      </c>
      <c r="O80" s="8">
        <v>0.42</v>
      </c>
      <c r="P80" s="8">
        <f t="shared" ref="P80:P88" si="12">P79-O80</f>
        <v>-66.620000000000019</v>
      </c>
    </row>
    <row r="81" spans="2:16">
      <c r="B81" s="8"/>
      <c r="C81" s="9"/>
      <c r="D81" s="8"/>
      <c r="E81" s="8"/>
      <c r="F81" s="8"/>
      <c r="G81" s="8"/>
      <c r="H81" s="8"/>
      <c r="I81" s="8"/>
      <c r="J81" s="8"/>
      <c r="K81" s="8"/>
      <c r="L81" s="8"/>
      <c r="M81" s="8"/>
      <c r="N81" s="8">
        <f t="shared" si="11"/>
        <v>66</v>
      </c>
      <c r="O81" s="8">
        <v>0.42</v>
      </c>
      <c r="P81" s="69">
        <v>-67</v>
      </c>
    </row>
    <row r="82" spans="2:16">
      <c r="B82" s="8"/>
      <c r="C82" s="9"/>
      <c r="D82" s="8"/>
      <c r="E82" s="8"/>
      <c r="F82" s="8"/>
      <c r="G82" s="8"/>
      <c r="H82" s="8"/>
      <c r="I82" s="8"/>
      <c r="J82" s="8"/>
      <c r="K82" s="8"/>
      <c r="L82" s="8"/>
      <c r="M82" s="8"/>
      <c r="N82" s="8">
        <f t="shared" si="11"/>
        <v>67</v>
      </c>
      <c r="O82" s="8">
        <v>0.42</v>
      </c>
      <c r="P82" s="8">
        <f t="shared" si="12"/>
        <v>-67.42</v>
      </c>
    </row>
    <row r="83" spans="2:16">
      <c r="B83" s="8"/>
      <c r="C83" s="9"/>
      <c r="D83" s="8"/>
      <c r="E83" s="8"/>
      <c r="F83" s="8"/>
      <c r="G83" s="8"/>
      <c r="H83" s="8"/>
      <c r="I83" s="8"/>
      <c r="J83" s="8"/>
      <c r="K83" s="8"/>
      <c r="L83" s="8"/>
      <c r="M83" s="8"/>
      <c r="N83" s="8">
        <f t="shared" si="11"/>
        <v>68</v>
      </c>
      <c r="O83" s="8">
        <v>0.42</v>
      </c>
      <c r="P83" s="8">
        <f t="shared" si="12"/>
        <v>-67.84</v>
      </c>
    </row>
    <row r="84" spans="2:16">
      <c r="B84" s="8"/>
      <c r="C84" s="9"/>
      <c r="D84" s="8"/>
      <c r="E84" s="8"/>
      <c r="F84" s="8"/>
      <c r="G84" s="8"/>
      <c r="H84" s="8"/>
      <c r="I84" s="8"/>
      <c r="J84" s="8"/>
      <c r="K84" s="8"/>
      <c r="L84" s="8"/>
      <c r="M84" s="8"/>
      <c r="N84" s="8">
        <f t="shared" si="11"/>
        <v>69</v>
      </c>
      <c r="O84" s="8">
        <v>0.42</v>
      </c>
      <c r="P84" s="8">
        <f t="shared" si="12"/>
        <v>-68.260000000000005</v>
      </c>
    </row>
    <row r="85" spans="2:16">
      <c r="B85" s="8"/>
      <c r="C85" s="9"/>
      <c r="D85" s="8"/>
      <c r="E85" s="8"/>
      <c r="F85" s="8"/>
      <c r="G85" s="8"/>
      <c r="H85" s="8"/>
      <c r="I85" s="8"/>
      <c r="J85" s="8"/>
      <c r="K85" s="8"/>
      <c r="L85" s="8"/>
      <c r="M85" s="8"/>
      <c r="N85" s="8">
        <f t="shared" si="11"/>
        <v>70</v>
      </c>
      <c r="O85" s="8">
        <v>0.42</v>
      </c>
      <c r="P85" s="8">
        <f t="shared" si="12"/>
        <v>-68.680000000000007</v>
      </c>
    </row>
    <row r="86" spans="2:16">
      <c r="B86" s="8"/>
      <c r="C86" s="9"/>
      <c r="D86" s="8"/>
      <c r="E86" s="8"/>
      <c r="F86" s="8"/>
      <c r="G86" s="8"/>
      <c r="H86" s="8"/>
      <c r="I86" s="8"/>
      <c r="J86" s="8"/>
      <c r="K86" s="8"/>
      <c r="L86" s="8"/>
      <c r="M86" s="8"/>
      <c r="N86" s="8">
        <f t="shared" si="11"/>
        <v>71</v>
      </c>
      <c r="O86" s="8">
        <v>0.42</v>
      </c>
      <c r="P86" s="8">
        <f t="shared" si="12"/>
        <v>-69.100000000000009</v>
      </c>
    </row>
    <row r="87" spans="2:16">
      <c r="B87" s="8"/>
      <c r="C87" s="9"/>
      <c r="D87" s="8"/>
      <c r="E87" s="8"/>
      <c r="F87" s="8"/>
      <c r="G87" s="8"/>
      <c r="H87" s="8"/>
      <c r="I87" s="8"/>
      <c r="J87" s="8"/>
      <c r="K87" s="8"/>
      <c r="L87" s="8"/>
      <c r="M87" s="8"/>
      <c r="N87" s="8">
        <f t="shared" si="11"/>
        <v>72</v>
      </c>
      <c r="O87" s="8">
        <v>0.42</v>
      </c>
      <c r="P87" s="8">
        <f t="shared" si="12"/>
        <v>-69.52000000000001</v>
      </c>
    </row>
    <row r="88" spans="2:16">
      <c r="B88" s="8"/>
      <c r="C88" s="9"/>
      <c r="D88" s="8"/>
      <c r="E88" s="8"/>
      <c r="F88" s="8"/>
      <c r="G88" s="8"/>
      <c r="H88" s="8"/>
      <c r="I88" s="8"/>
      <c r="J88" s="8"/>
      <c r="K88" s="8"/>
      <c r="L88" s="8"/>
      <c r="M88" s="8"/>
      <c r="N88" s="8">
        <f t="shared" si="11"/>
        <v>73</v>
      </c>
      <c r="O88" s="8">
        <v>0.42</v>
      </c>
      <c r="P88" s="8">
        <f t="shared" si="12"/>
        <v>-69.940000000000012</v>
      </c>
    </row>
    <row r="89" spans="2:16">
      <c r="B89" s="8"/>
      <c r="C89" s="9"/>
      <c r="D89" s="8"/>
      <c r="E89" s="8"/>
      <c r="F89" s="8"/>
      <c r="G89" s="8"/>
      <c r="H89" s="8"/>
      <c r="I89" s="8"/>
      <c r="J89" s="8"/>
      <c r="K89" s="8"/>
      <c r="L89" s="8"/>
      <c r="M89" s="8"/>
      <c r="N89" s="8">
        <f t="shared" ref="N89:N124" si="13">N88+1</f>
        <v>74</v>
      </c>
      <c r="O89" s="8">
        <v>0.42</v>
      </c>
      <c r="P89" s="8">
        <f>P88-O89</f>
        <v>-70.360000000000014</v>
      </c>
    </row>
    <row r="90" spans="2:16">
      <c r="G90" s="8"/>
      <c r="H90" s="8"/>
      <c r="I90" s="8"/>
      <c r="J90" s="8"/>
      <c r="K90" s="8"/>
      <c r="L90" s="8"/>
      <c r="M90" s="8"/>
      <c r="N90" s="8">
        <f t="shared" si="13"/>
        <v>75</v>
      </c>
      <c r="O90" s="8">
        <v>0.42</v>
      </c>
      <c r="P90" s="8">
        <f>P89-O90</f>
        <v>-70.780000000000015</v>
      </c>
    </row>
    <row r="91" spans="2:16">
      <c r="G91" s="8"/>
      <c r="H91" s="8"/>
      <c r="I91" s="8"/>
      <c r="J91" s="8"/>
      <c r="K91" s="8"/>
      <c r="L91" s="8"/>
      <c r="M91" s="8"/>
      <c r="N91" s="8">
        <f t="shared" si="13"/>
        <v>76</v>
      </c>
      <c r="O91" s="8">
        <v>0.42</v>
      </c>
      <c r="P91" s="8">
        <f>P90-O91</f>
        <v>-71.200000000000017</v>
      </c>
    </row>
    <row r="92" spans="2:16">
      <c r="G92" s="8"/>
      <c r="H92" s="8"/>
      <c r="I92" s="8"/>
      <c r="J92" s="8"/>
      <c r="K92" s="8"/>
      <c r="L92" s="8"/>
      <c r="M92" s="8"/>
      <c r="N92" s="8">
        <f t="shared" si="13"/>
        <v>77</v>
      </c>
      <c r="O92" s="8">
        <v>0.42</v>
      </c>
      <c r="P92" s="8">
        <f>P91-O92</f>
        <v>-71.620000000000019</v>
      </c>
    </row>
    <row r="93" spans="2:16">
      <c r="G93" s="8"/>
      <c r="H93" s="8"/>
      <c r="I93" s="8"/>
      <c r="J93" s="8"/>
      <c r="K93" s="8"/>
      <c r="L93" s="8"/>
      <c r="M93" s="8"/>
      <c r="N93" s="8">
        <f t="shared" si="13"/>
        <v>78</v>
      </c>
      <c r="O93" s="8">
        <v>0.42</v>
      </c>
      <c r="P93" s="71">
        <v>-72</v>
      </c>
    </row>
    <row r="94" spans="2:16">
      <c r="G94" s="8"/>
      <c r="H94" s="8"/>
      <c r="I94" s="8"/>
      <c r="J94" s="8"/>
      <c r="K94" s="8"/>
      <c r="L94" s="8"/>
      <c r="M94" s="8"/>
      <c r="N94" s="8">
        <f t="shared" si="13"/>
        <v>79</v>
      </c>
      <c r="O94" s="8">
        <v>0.25</v>
      </c>
      <c r="P94" s="8">
        <f t="shared" ref="P94:P110" si="14">P93-O94</f>
        <v>-72.25</v>
      </c>
    </row>
    <row r="95" spans="2:16">
      <c r="G95" s="8"/>
      <c r="H95" s="8"/>
      <c r="I95" s="8"/>
      <c r="J95" s="8"/>
      <c r="K95" s="8"/>
      <c r="L95" s="8"/>
      <c r="M95" s="8"/>
      <c r="N95" s="8">
        <f t="shared" si="13"/>
        <v>80</v>
      </c>
      <c r="O95" s="8">
        <v>0.25</v>
      </c>
      <c r="P95" s="8">
        <f t="shared" si="14"/>
        <v>-72.5</v>
      </c>
    </row>
    <row r="96" spans="2:16">
      <c r="G96" s="8"/>
      <c r="H96" s="8"/>
      <c r="I96" s="8"/>
      <c r="J96" s="8"/>
      <c r="K96" s="8"/>
      <c r="L96" s="8"/>
      <c r="M96" s="8"/>
      <c r="N96" s="8">
        <f t="shared" si="13"/>
        <v>81</v>
      </c>
      <c r="O96" s="8">
        <v>0.25</v>
      </c>
      <c r="P96" s="8">
        <f t="shared" si="14"/>
        <v>-72.75</v>
      </c>
    </row>
    <row r="97" spans="7:16">
      <c r="G97" s="8"/>
      <c r="H97" s="8"/>
      <c r="I97" s="8"/>
      <c r="J97" s="8"/>
      <c r="K97" s="8"/>
      <c r="L97" s="8"/>
      <c r="M97" s="8"/>
      <c r="N97" s="8">
        <f t="shared" si="13"/>
        <v>82</v>
      </c>
      <c r="O97" s="8">
        <v>0.25</v>
      </c>
      <c r="P97" s="8">
        <f t="shared" si="14"/>
        <v>-73</v>
      </c>
    </row>
    <row r="98" spans="7:16">
      <c r="G98" s="8"/>
      <c r="H98" s="8"/>
      <c r="I98" s="8"/>
      <c r="J98" s="8"/>
      <c r="K98" s="8"/>
      <c r="L98" s="8"/>
      <c r="M98" s="8"/>
      <c r="N98" s="8">
        <f t="shared" si="13"/>
        <v>83</v>
      </c>
      <c r="O98" s="8">
        <v>0.25</v>
      </c>
      <c r="P98" s="8">
        <f t="shared" si="14"/>
        <v>-73.25</v>
      </c>
    </row>
    <row r="99" spans="7:16">
      <c r="G99" s="8"/>
      <c r="H99" s="8"/>
      <c r="I99" s="8"/>
      <c r="J99" s="8"/>
      <c r="K99" s="8"/>
      <c r="L99" s="8"/>
      <c r="M99" s="8"/>
      <c r="N99" s="8">
        <f t="shared" si="13"/>
        <v>84</v>
      </c>
      <c r="O99" s="8">
        <v>0.25</v>
      </c>
      <c r="P99" s="8">
        <f t="shared" si="14"/>
        <v>-73.5</v>
      </c>
    </row>
    <row r="100" spans="7:16">
      <c r="G100" s="8"/>
      <c r="H100" s="8"/>
      <c r="I100" s="8"/>
      <c r="J100" s="8"/>
      <c r="K100" s="8"/>
      <c r="L100" s="8"/>
      <c r="M100" s="8"/>
      <c r="N100" s="8">
        <f t="shared" si="13"/>
        <v>85</v>
      </c>
      <c r="O100" s="8">
        <v>0.25</v>
      </c>
      <c r="P100" s="8">
        <f t="shared" si="14"/>
        <v>-73.75</v>
      </c>
    </row>
    <row r="101" spans="7:16">
      <c r="G101" s="8"/>
      <c r="H101" s="8"/>
      <c r="I101" s="8"/>
      <c r="J101" s="8"/>
      <c r="K101" s="8"/>
      <c r="L101" s="8"/>
      <c r="M101" s="8"/>
      <c r="N101" s="8">
        <f t="shared" si="13"/>
        <v>86</v>
      </c>
      <c r="O101" s="8">
        <v>0.25</v>
      </c>
      <c r="P101" s="8">
        <f t="shared" si="14"/>
        <v>-74</v>
      </c>
    </row>
    <row r="102" spans="7:16">
      <c r="G102" s="8"/>
      <c r="H102" s="8"/>
      <c r="I102" s="8"/>
      <c r="J102" s="8"/>
      <c r="K102" s="8"/>
      <c r="L102" s="8"/>
      <c r="M102" s="8"/>
      <c r="N102" s="8">
        <f t="shared" si="13"/>
        <v>87</v>
      </c>
      <c r="O102" s="8">
        <v>0.25</v>
      </c>
      <c r="P102" s="8">
        <f t="shared" si="14"/>
        <v>-74.25</v>
      </c>
    </row>
    <row r="103" spans="7:16">
      <c r="G103" s="8"/>
      <c r="H103" s="8"/>
      <c r="I103" s="8"/>
      <c r="J103" s="8"/>
      <c r="K103" s="8"/>
      <c r="L103" s="8"/>
      <c r="M103" s="8"/>
      <c r="N103" s="8">
        <f t="shared" si="13"/>
        <v>88</v>
      </c>
      <c r="O103" s="8">
        <v>0.25</v>
      </c>
      <c r="P103" s="8">
        <f t="shared" si="14"/>
        <v>-74.5</v>
      </c>
    </row>
    <row r="104" spans="7:16">
      <c r="G104" s="8"/>
      <c r="H104" s="8"/>
      <c r="I104" s="8"/>
      <c r="J104" s="8"/>
      <c r="K104" s="8"/>
      <c r="L104" s="8"/>
      <c r="M104" s="8"/>
      <c r="N104" s="8">
        <f t="shared" si="13"/>
        <v>89</v>
      </c>
      <c r="O104" s="8">
        <v>0.25</v>
      </c>
      <c r="P104" s="8">
        <f t="shared" si="14"/>
        <v>-74.75</v>
      </c>
    </row>
    <row r="105" spans="7:16">
      <c r="G105" s="8"/>
      <c r="H105" s="8"/>
      <c r="I105" s="8"/>
      <c r="J105" s="8"/>
      <c r="K105" s="8"/>
      <c r="L105" s="8"/>
      <c r="M105" s="8"/>
      <c r="N105" s="8">
        <f t="shared" si="13"/>
        <v>90</v>
      </c>
      <c r="O105" s="8">
        <v>0.25</v>
      </c>
      <c r="P105" s="71">
        <f t="shared" si="14"/>
        <v>-75</v>
      </c>
    </row>
    <row r="106" spans="7:16">
      <c r="G106" s="8"/>
      <c r="H106" s="8"/>
      <c r="I106" s="8"/>
      <c r="J106" s="8"/>
      <c r="K106" s="8"/>
      <c r="L106" s="8"/>
      <c r="M106" s="8"/>
      <c r="N106" s="8">
        <f t="shared" si="13"/>
        <v>91</v>
      </c>
      <c r="O106" s="8">
        <v>0.25</v>
      </c>
      <c r="P106" s="8">
        <f t="shared" si="14"/>
        <v>-75.25</v>
      </c>
    </row>
    <row r="107" spans="7:16">
      <c r="G107" s="8"/>
      <c r="H107" s="8"/>
      <c r="I107" s="8"/>
      <c r="J107" s="8"/>
      <c r="K107" s="8"/>
      <c r="L107" s="8"/>
      <c r="M107" s="8"/>
      <c r="N107" s="8">
        <f t="shared" si="13"/>
        <v>92</v>
      </c>
      <c r="O107" s="8">
        <v>0.25</v>
      </c>
      <c r="P107" s="8">
        <f t="shared" si="14"/>
        <v>-75.5</v>
      </c>
    </row>
    <row r="108" spans="7:16">
      <c r="G108" s="8"/>
      <c r="H108" s="8"/>
      <c r="I108" s="8"/>
      <c r="J108" s="8"/>
      <c r="K108" s="8"/>
      <c r="L108" s="8"/>
      <c r="M108" s="8"/>
      <c r="N108" s="8">
        <f t="shared" si="13"/>
        <v>93</v>
      </c>
      <c r="O108" s="8">
        <v>0.25</v>
      </c>
      <c r="P108" s="8">
        <f t="shared" si="14"/>
        <v>-75.75</v>
      </c>
    </row>
    <row r="109" spans="7:16">
      <c r="G109" s="8"/>
      <c r="H109" s="8"/>
      <c r="I109" s="8"/>
      <c r="J109" s="8"/>
      <c r="K109" s="8"/>
      <c r="L109" s="8"/>
      <c r="M109" s="8"/>
      <c r="N109" s="8">
        <f t="shared" si="13"/>
        <v>94</v>
      </c>
      <c r="O109" s="8">
        <v>0.25</v>
      </c>
      <c r="P109" s="8">
        <f t="shared" si="14"/>
        <v>-76</v>
      </c>
    </row>
    <row r="110" spans="7:16">
      <c r="G110" s="8"/>
      <c r="H110" s="8"/>
      <c r="I110" s="8"/>
      <c r="J110" s="8"/>
      <c r="K110" s="8"/>
      <c r="L110" s="8"/>
      <c r="M110" s="8"/>
      <c r="N110" s="8">
        <f t="shared" si="13"/>
        <v>95</v>
      </c>
      <c r="O110" s="8">
        <v>0.25</v>
      </c>
      <c r="P110" s="8">
        <f t="shared" si="14"/>
        <v>-76.25</v>
      </c>
    </row>
    <row r="111" spans="7:16">
      <c r="G111" s="8"/>
      <c r="H111" s="8"/>
      <c r="I111" s="8"/>
      <c r="J111" s="8"/>
      <c r="K111" s="8"/>
      <c r="L111" s="8"/>
      <c r="M111" s="8"/>
      <c r="N111" s="8">
        <f t="shared" si="13"/>
        <v>96</v>
      </c>
      <c r="O111" s="8">
        <v>0.25</v>
      </c>
      <c r="P111" s="8">
        <f t="shared" ref="P111:P140" si="15">P110-O111</f>
        <v>-76.5</v>
      </c>
    </row>
    <row r="112" spans="7:16">
      <c r="G112" s="8"/>
      <c r="H112" s="8"/>
      <c r="I112" s="8"/>
      <c r="J112" s="8"/>
      <c r="K112" s="8"/>
      <c r="L112" s="8"/>
      <c r="M112" s="8"/>
      <c r="N112" s="8">
        <f t="shared" si="13"/>
        <v>97</v>
      </c>
      <c r="O112" s="8">
        <v>0.25</v>
      </c>
      <c r="P112" s="8">
        <f t="shared" si="15"/>
        <v>-76.75</v>
      </c>
    </row>
    <row r="113" spans="7:16">
      <c r="G113" s="8"/>
      <c r="H113" s="8"/>
      <c r="I113" s="8"/>
      <c r="J113" s="8"/>
      <c r="K113" s="8"/>
      <c r="L113" s="8"/>
      <c r="M113" s="8"/>
      <c r="N113" s="8">
        <f t="shared" si="13"/>
        <v>98</v>
      </c>
      <c r="O113" s="8">
        <v>0.25</v>
      </c>
      <c r="P113" s="8">
        <f t="shared" si="15"/>
        <v>-77</v>
      </c>
    </row>
    <row r="114" spans="7:16">
      <c r="G114" s="8"/>
      <c r="H114" s="8"/>
      <c r="I114" s="8"/>
      <c r="J114" s="8"/>
      <c r="K114" s="8"/>
      <c r="L114" s="8"/>
      <c r="M114" s="8"/>
      <c r="N114" s="8">
        <f t="shared" si="13"/>
        <v>99</v>
      </c>
      <c r="O114" s="8">
        <v>0.25</v>
      </c>
      <c r="P114" s="8">
        <f t="shared" si="15"/>
        <v>-77.25</v>
      </c>
    </row>
    <row r="115" spans="7:16">
      <c r="G115" s="8"/>
      <c r="H115" s="8"/>
      <c r="I115" s="8"/>
      <c r="J115" s="8"/>
      <c r="K115" s="8"/>
      <c r="L115" s="8"/>
      <c r="M115" s="8"/>
      <c r="N115" s="8">
        <f t="shared" si="13"/>
        <v>100</v>
      </c>
      <c r="O115" s="8">
        <v>0.25</v>
      </c>
      <c r="P115" s="8">
        <f t="shared" si="15"/>
        <v>-77.5</v>
      </c>
    </row>
    <row r="116" spans="7:16">
      <c r="G116" s="8"/>
      <c r="H116" s="8"/>
      <c r="I116" s="8"/>
      <c r="J116" s="8"/>
      <c r="K116" s="8"/>
      <c r="L116" s="8"/>
      <c r="M116" s="8"/>
      <c r="N116" s="8">
        <f t="shared" si="13"/>
        <v>101</v>
      </c>
      <c r="O116" s="8">
        <v>0.25</v>
      </c>
      <c r="P116" s="8">
        <f t="shared" si="15"/>
        <v>-77.75</v>
      </c>
    </row>
    <row r="117" spans="7:16">
      <c r="G117" s="8"/>
      <c r="H117" s="8"/>
      <c r="I117" s="8"/>
      <c r="J117" s="8"/>
      <c r="K117" s="8"/>
      <c r="L117" s="8"/>
      <c r="M117" s="8"/>
      <c r="N117" s="8">
        <f t="shared" si="13"/>
        <v>102</v>
      </c>
      <c r="O117" s="8">
        <v>0.25</v>
      </c>
      <c r="P117" s="71">
        <f t="shared" si="15"/>
        <v>-78</v>
      </c>
    </row>
    <row r="118" spans="7:16">
      <c r="G118" s="8"/>
      <c r="H118" s="8"/>
      <c r="I118" s="8"/>
      <c r="J118" s="8"/>
      <c r="K118" s="8"/>
      <c r="L118" s="8"/>
      <c r="M118" s="8"/>
      <c r="N118" s="8">
        <f t="shared" si="13"/>
        <v>103</v>
      </c>
      <c r="O118" s="8">
        <v>0.25</v>
      </c>
      <c r="P118" s="8">
        <f t="shared" si="15"/>
        <v>-78.25</v>
      </c>
    </row>
    <row r="119" spans="7:16">
      <c r="G119" s="8"/>
      <c r="H119" s="8"/>
      <c r="I119" s="8"/>
      <c r="J119" s="8"/>
      <c r="K119" s="8"/>
      <c r="L119" s="8"/>
      <c r="M119" s="8"/>
      <c r="N119" s="8">
        <f t="shared" si="13"/>
        <v>104</v>
      </c>
      <c r="O119" s="8">
        <v>0.25</v>
      </c>
      <c r="P119" s="8">
        <f t="shared" si="15"/>
        <v>-78.5</v>
      </c>
    </row>
    <row r="120" spans="7:16">
      <c r="G120" s="8"/>
      <c r="H120" s="8"/>
      <c r="I120" s="8"/>
      <c r="J120" s="8"/>
      <c r="K120" s="8"/>
      <c r="L120" s="8"/>
      <c r="M120" s="8"/>
      <c r="N120" s="8">
        <f t="shared" si="13"/>
        <v>105</v>
      </c>
      <c r="O120" s="8">
        <v>0.25</v>
      </c>
      <c r="P120" s="8">
        <f t="shared" si="15"/>
        <v>-78.75</v>
      </c>
    </row>
    <row r="121" spans="7:16">
      <c r="G121" s="8"/>
      <c r="H121" s="8"/>
      <c r="I121" s="8"/>
      <c r="J121" s="8"/>
      <c r="K121" s="8"/>
      <c r="L121" s="8"/>
      <c r="M121" s="8"/>
      <c r="N121" s="8">
        <f t="shared" si="13"/>
        <v>106</v>
      </c>
      <c r="O121" s="8">
        <v>0.25</v>
      </c>
      <c r="P121" s="8">
        <f t="shared" si="15"/>
        <v>-79</v>
      </c>
    </row>
    <row r="122" spans="7:16">
      <c r="G122" s="8"/>
      <c r="H122" s="8"/>
      <c r="I122" s="8"/>
      <c r="J122" s="8"/>
      <c r="K122" s="8"/>
      <c r="L122" s="8"/>
      <c r="M122" s="8"/>
      <c r="N122" s="8">
        <f t="shared" si="13"/>
        <v>107</v>
      </c>
      <c r="O122" s="8">
        <v>0.25</v>
      </c>
      <c r="P122" s="8">
        <f t="shared" si="15"/>
        <v>-79.25</v>
      </c>
    </row>
    <row r="123" spans="7:16">
      <c r="G123" s="8"/>
      <c r="H123" s="8"/>
      <c r="I123" s="8"/>
      <c r="J123" s="8"/>
      <c r="K123" s="8"/>
      <c r="L123" s="8"/>
      <c r="M123" s="8"/>
      <c r="N123" s="8">
        <f t="shared" si="13"/>
        <v>108</v>
      </c>
      <c r="O123" s="8">
        <v>0.25</v>
      </c>
      <c r="P123" s="8">
        <f t="shared" si="15"/>
        <v>-79.5</v>
      </c>
    </row>
    <row r="124" spans="7:16">
      <c r="G124" s="8"/>
      <c r="H124" s="8"/>
      <c r="I124" s="8"/>
      <c r="J124" s="8"/>
      <c r="K124" s="8"/>
      <c r="L124" s="8"/>
      <c r="M124" s="8"/>
      <c r="N124" s="8">
        <f t="shared" si="13"/>
        <v>109</v>
      </c>
      <c r="O124" s="8">
        <v>0.25</v>
      </c>
      <c r="P124" s="8">
        <f t="shared" si="15"/>
        <v>-79.75</v>
      </c>
    </row>
    <row r="125" spans="7:16">
      <c r="G125" s="8"/>
      <c r="H125" s="8"/>
      <c r="I125" s="8"/>
      <c r="J125" s="8"/>
      <c r="K125" s="8"/>
      <c r="L125" s="8"/>
      <c r="M125" s="8"/>
      <c r="N125" s="8">
        <f t="shared" ref="N125:N140" si="16">N124+1</f>
        <v>110</v>
      </c>
      <c r="O125" s="8">
        <v>0.25</v>
      </c>
      <c r="P125" s="8">
        <f t="shared" si="15"/>
        <v>-80</v>
      </c>
    </row>
    <row r="126" spans="7:16">
      <c r="G126" s="8"/>
      <c r="H126" s="8"/>
      <c r="I126" s="8"/>
      <c r="J126" s="8"/>
      <c r="K126" s="8"/>
      <c r="L126" s="8"/>
      <c r="M126" s="8"/>
      <c r="N126" s="8">
        <f t="shared" si="16"/>
        <v>111</v>
      </c>
      <c r="O126" s="8">
        <v>0.25</v>
      </c>
      <c r="P126" s="8">
        <f t="shared" si="15"/>
        <v>-80.25</v>
      </c>
    </row>
    <row r="127" spans="7:16">
      <c r="G127" s="8"/>
      <c r="H127" s="8"/>
      <c r="I127" s="8"/>
      <c r="J127" s="8"/>
      <c r="K127" s="8"/>
      <c r="L127" s="8"/>
      <c r="M127" s="8"/>
      <c r="N127" s="8">
        <f t="shared" si="16"/>
        <v>112</v>
      </c>
      <c r="O127" s="8">
        <v>0.25</v>
      </c>
      <c r="P127" s="8">
        <f t="shared" si="15"/>
        <v>-80.5</v>
      </c>
    </row>
    <row r="128" spans="7:16">
      <c r="G128" s="8"/>
      <c r="H128" s="8"/>
      <c r="I128" s="8"/>
      <c r="J128" s="8"/>
      <c r="K128" s="8"/>
      <c r="L128" s="8"/>
      <c r="M128" s="8"/>
      <c r="N128" s="8">
        <f t="shared" si="16"/>
        <v>113</v>
      </c>
      <c r="O128" s="8">
        <v>0.19</v>
      </c>
      <c r="P128" s="8">
        <f t="shared" si="15"/>
        <v>-80.69</v>
      </c>
    </row>
    <row r="129" spans="7:16">
      <c r="G129" s="8"/>
      <c r="H129" s="8"/>
      <c r="I129" s="8"/>
      <c r="J129" s="8"/>
      <c r="K129" s="8"/>
      <c r="L129" s="8"/>
      <c r="M129" s="8"/>
      <c r="N129" s="8">
        <f t="shared" si="16"/>
        <v>114</v>
      </c>
      <c r="O129" s="8">
        <v>0.19</v>
      </c>
      <c r="P129" s="8">
        <f t="shared" si="15"/>
        <v>-80.88</v>
      </c>
    </row>
    <row r="130" spans="7:16">
      <c r="G130" s="8"/>
      <c r="H130" s="8"/>
      <c r="I130" s="8"/>
      <c r="J130" s="8"/>
      <c r="K130" s="8"/>
      <c r="L130" s="8"/>
      <c r="M130" s="8"/>
      <c r="N130" s="8">
        <f t="shared" si="16"/>
        <v>115</v>
      </c>
      <c r="O130" s="8">
        <v>0.19</v>
      </c>
      <c r="P130" s="8">
        <f t="shared" si="15"/>
        <v>-81.069999999999993</v>
      </c>
    </row>
    <row r="131" spans="7:16">
      <c r="G131" s="8"/>
      <c r="H131" s="8"/>
      <c r="I131" s="8"/>
      <c r="J131" s="8"/>
      <c r="K131" s="8"/>
      <c r="L131" s="8"/>
      <c r="M131" s="8"/>
      <c r="N131" s="8">
        <f t="shared" si="16"/>
        <v>116</v>
      </c>
      <c r="O131" s="8">
        <v>0.19</v>
      </c>
      <c r="P131" s="8">
        <f t="shared" si="15"/>
        <v>-81.259999999999991</v>
      </c>
    </row>
    <row r="132" spans="7:16">
      <c r="G132" s="8"/>
      <c r="H132" s="8"/>
      <c r="I132" s="8"/>
      <c r="J132" s="8"/>
      <c r="K132" s="8"/>
      <c r="L132" s="8"/>
      <c r="M132" s="8"/>
      <c r="N132" s="8">
        <f t="shared" si="16"/>
        <v>117</v>
      </c>
      <c r="O132" s="8">
        <v>0.19</v>
      </c>
      <c r="P132" s="8">
        <f t="shared" si="15"/>
        <v>-81.449999999999989</v>
      </c>
    </row>
    <row r="133" spans="7:16">
      <c r="G133" s="8"/>
      <c r="H133" s="8"/>
      <c r="I133" s="8"/>
      <c r="J133" s="8"/>
      <c r="K133" s="8"/>
      <c r="L133" s="8"/>
      <c r="M133" s="8"/>
      <c r="N133" s="8">
        <f t="shared" si="16"/>
        <v>118</v>
      </c>
      <c r="O133" s="8">
        <v>0.19</v>
      </c>
      <c r="P133" s="8">
        <f t="shared" si="15"/>
        <v>-81.639999999999986</v>
      </c>
    </row>
    <row r="134" spans="7:16">
      <c r="G134" s="8"/>
      <c r="H134" s="8"/>
      <c r="I134" s="8"/>
      <c r="J134" s="8"/>
      <c r="K134" s="8"/>
      <c r="L134" s="8"/>
      <c r="M134" s="8"/>
      <c r="N134" s="8">
        <f t="shared" si="16"/>
        <v>119</v>
      </c>
      <c r="O134" s="8">
        <v>0.19</v>
      </c>
      <c r="P134" s="8">
        <f t="shared" si="15"/>
        <v>-81.829999999999984</v>
      </c>
    </row>
    <row r="135" spans="7:16">
      <c r="G135" s="8"/>
      <c r="H135" s="8"/>
      <c r="I135" s="8"/>
      <c r="J135" s="8"/>
      <c r="K135" s="8"/>
      <c r="L135" s="8"/>
      <c r="M135" s="8"/>
      <c r="N135" s="8">
        <f t="shared" si="16"/>
        <v>120</v>
      </c>
      <c r="O135" s="8">
        <v>0.19</v>
      </c>
      <c r="P135" s="8">
        <f t="shared" si="15"/>
        <v>-82.019999999999982</v>
      </c>
    </row>
    <row r="136" spans="7:16">
      <c r="G136" s="8"/>
      <c r="H136" s="8"/>
      <c r="I136" s="8"/>
      <c r="J136" s="8"/>
      <c r="K136" s="8"/>
      <c r="L136" s="8"/>
      <c r="M136" s="8"/>
      <c r="N136" s="8">
        <f t="shared" si="16"/>
        <v>121</v>
      </c>
      <c r="O136" s="8">
        <v>0.19</v>
      </c>
      <c r="P136" s="8">
        <f t="shared" si="15"/>
        <v>-82.20999999999998</v>
      </c>
    </row>
    <row r="137" spans="7:16">
      <c r="G137" s="8"/>
      <c r="H137" s="8"/>
      <c r="I137" s="8"/>
      <c r="J137" s="8"/>
      <c r="K137" s="8"/>
      <c r="L137" s="8"/>
      <c r="M137" s="8"/>
      <c r="N137" s="8">
        <f t="shared" si="16"/>
        <v>122</v>
      </c>
      <c r="O137" s="8">
        <v>0.19</v>
      </c>
      <c r="P137" s="8">
        <f t="shared" si="15"/>
        <v>-82.399999999999977</v>
      </c>
    </row>
    <row r="138" spans="7:16">
      <c r="G138" s="8"/>
      <c r="H138" s="8"/>
      <c r="I138" s="8"/>
      <c r="J138" s="8"/>
      <c r="K138" s="8"/>
      <c r="L138" s="8"/>
      <c r="M138" s="8"/>
      <c r="N138" s="8">
        <f t="shared" si="16"/>
        <v>123</v>
      </c>
      <c r="O138" s="8">
        <v>0.19</v>
      </c>
      <c r="P138" s="8">
        <f t="shared" si="15"/>
        <v>-82.589999999999975</v>
      </c>
    </row>
    <row r="139" spans="7:16">
      <c r="G139" s="8"/>
      <c r="H139" s="8"/>
      <c r="I139" s="8"/>
      <c r="J139" s="8"/>
      <c r="K139" s="8"/>
      <c r="L139" s="8"/>
      <c r="M139" s="8"/>
      <c r="N139" s="8">
        <f t="shared" si="16"/>
        <v>124</v>
      </c>
      <c r="O139" s="8">
        <v>0.19</v>
      </c>
      <c r="P139" s="8">
        <f t="shared" si="15"/>
        <v>-82.779999999999973</v>
      </c>
    </row>
    <row r="140" spans="7:16">
      <c r="G140" s="8"/>
      <c r="H140" s="8"/>
      <c r="I140" s="8"/>
      <c r="J140" s="8"/>
      <c r="K140" s="8"/>
      <c r="L140" s="8"/>
      <c r="M140" s="8"/>
      <c r="N140" s="8">
        <f t="shared" si="16"/>
        <v>125</v>
      </c>
      <c r="O140" s="8">
        <v>0.19</v>
      </c>
      <c r="P140" s="8">
        <f t="shared" si="15"/>
        <v>-82.96999999999997</v>
      </c>
    </row>
    <row r="141" spans="7:16">
      <c r="G141" s="8"/>
      <c r="H141" s="8"/>
      <c r="I141" s="8"/>
      <c r="J141" s="8"/>
      <c r="K141" s="8"/>
      <c r="L141" s="8"/>
      <c r="M141" s="8"/>
      <c r="N141" s="8">
        <f>N140+1</f>
        <v>126</v>
      </c>
      <c r="O141" s="8">
        <v>0.19</v>
      </c>
      <c r="P141" s="8">
        <f>P140-O141</f>
        <v>-83.159999999999968</v>
      </c>
    </row>
    <row r="142" spans="7:16">
      <c r="G142" s="8"/>
      <c r="H142" s="8"/>
      <c r="I142" s="8"/>
      <c r="J142" s="8"/>
      <c r="K142" s="8"/>
      <c r="L142" s="8"/>
      <c r="M142" s="8"/>
      <c r="N142" s="8" t="s">
        <v>66</v>
      </c>
      <c r="O142" s="8"/>
      <c r="P142" s="8"/>
    </row>
    <row r="143" spans="7:16">
      <c r="G143" s="8"/>
      <c r="H143" s="8"/>
      <c r="I143" s="8"/>
      <c r="J143" s="8"/>
      <c r="K143" s="8"/>
      <c r="L143" s="8"/>
      <c r="M143" s="8"/>
      <c r="N143" s="8"/>
      <c r="O143" s="8"/>
      <c r="P143" s="8"/>
    </row>
    <row r="144" spans="7:16">
      <c r="G144" s="8"/>
      <c r="H144" s="8"/>
      <c r="I144" s="8"/>
      <c r="J144" s="8"/>
      <c r="K144" s="8"/>
      <c r="L144" s="8"/>
      <c r="M144" s="8"/>
      <c r="N144" s="8" t="s">
        <v>67</v>
      </c>
      <c r="O144" s="8"/>
      <c r="P144" s="11">
        <f>VLOOKUP(C16,N9:P141,3,0)/100*C13+C13</f>
        <v>1387.6543999999999</v>
      </c>
    </row>
    <row r="145" spans="7:16">
      <c r="G145" s="8"/>
      <c r="H145" s="8"/>
      <c r="I145" s="8"/>
      <c r="J145" s="8"/>
      <c r="K145" s="8"/>
      <c r="L145" s="8"/>
      <c r="M145" s="8"/>
      <c r="N145" s="8"/>
      <c r="O145" s="8"/>
      <c r="P145" s="8" t="s">
        <v>0</v>
      </c>
    </row>
    <row r="146" spans="7:16">
      <c r="G146" s="8"/>
      <c r="H146" s="8"/>
      <c r="I146" s="8"/>
      <c r="J146" s="8"/>
      <c r="K146" s="8"/>
      <c r="L146" s="8"/>
      <c r="M146" s="8"/>
      <c r="N146" s="8"/>
      <c r="O146" s="8"/>
      <c r="P146" s="8"/>
    </row>
    <row r="147" spans="7:16">
      <c r="G147" s="8"/>
      <c r="H147" s="8"/>
      <c r="I147" s="8"/>
      <c r="J147" s="8"/>
      <c r="K147" s="8"/>
      <c r="L147" s="8"/>
      <c r="M147" s="8"/>
      <c r="N147" s="8"/>
      <c r="O147" s="8"/>
      <c r="P147" s="8"/>
    </row>
    <row r="148" spans="7:16">
      <c r="G148" s="8"/>
      <c r="H148" s="8"/>
      <c r="I148" s="8"/>
      <c r="J148" s="8"/>
      <c r="K148" s="8"/>
      <c r="L148" s="8"/>
      <c r="M148" s="8"/>
      <c r="N148" s="8"/>
      <c r="O148" s="8"/>
      <c r="P148" s="8"/>
    </row>
    <row r="149" spans="7:16">
      <c r="G149" s="8"/>
      <c r="H149" s="8"/>
      <c r="I149" s="8"/>
      <c r="J149" s="8"/>
      <c r="K149" s="8"/>
      <c r="L149" s="8"/>
      <c r="M149" s="8"/>
      <c r="N149" s="8"/>
      <c r="O149" s="8"/>
      <c r="P149" s="8"/>
    </row>
    <row r="150" spans="7:16">
      <c r="G150" s="8"/>
      <c r="H150" s="8"/>
      <c r="I150" s="8"/>
      <c r="J150" s="8"/>
      <c r="K150" s="8"/>
      <c r="L150" s="8"/>
      <c r="M150" s="8"/>
      <c r="N150" s="8"/>
      <c r="O150" s="8"/>
      <c r="P150" s="8"/>
    </row>
    <row r="151" spans="7:16">
      <c r="G151" s="8"/>
      <c r="H151" s="8"/>
      <c r="I151" s="8"/>
      <c r="J151" s="8"/>
      <c r="K151" s="8"/>
      <c r="L151" s="8"/>
      <c r="M151" s="8"/>
      <c r="N151" s="8"/>
      <c r="O151" s="8"/>
      <c r="P151" s="8"/>
    </row>
    <row r="152" spans="7:16">
      <c r="G152" s="8"/>
      <c r="H152" s="8"/>
      <c r="I152" s="8"/>
      <c r="J152" s="8"/>
      <c r="K152" s="8"/>
      <c r="L152" s="8"/>
      <c r="M152" s="8"/>
      <c r="N152" s="8"/>
      <c r="O152" s="8"/>
      <c r="P152" s="8"/>
    </row>
    <row r="153" spans="7:16">
      <c r="G153" s="8"/>
      <c r="H153" s="8"/>
      <c r="I153" s="8"/>
      <c r="J153" s="8"/>
      <c r="K153" s="8"/>
      <c r="L153" s="8"/>
      <c r="M153" s="8"/>
      <c r="N153" s="8"/>
      <c r="O153" s="8"/>
      <c r="P153" s="8"/>
    </row>
    <row r="154" spans="7:16">
      <c r="G154" s="8"/>
      <c r="H154" s="8"/>
      <c r="I154" s="8"/>
      <c r="J154" s="8"/>
      <c r="K154" s="8"/>
      <c r="L154" s="8"/>
      <c r="M154" s="8"/>
      <c r="N154" s="8"/>
      <c r="O154" s="8"/>
      <c r="P154" s="8"/>
    </row>
    <row r="155" spans="7:16">
      <c r="G155" s="8"/>
      <c r="H155" s="8"/>
      <c r="I155" s="8"/>
      <c r="J155" s="8"/>
      <c r="K155" s="8"/>
      <c r="L155" s="8"/>
      <c r="M155" s="8"/>
      <c r="N155" s="8"/>
      <c r="O155" s="8"/>
      <c r="P155" s="8"/>
    </row>
    <row r="156" spans="7:16">
      <c r="G156" s="8"/>
      <c r="H156" s="8"/>
      <c r="I156" s="8"/>
      <c r="J156" s="8"/>
      <c r="K156" s="8"/>
      <c r="L156" s="8"/>
      <c r="M156" s="8"/>
      <c r="N156" s="8"/>
      <c r="O156" s="8"/>
      <c r="P156" s="8"/>
    </row>
    <row r="157" spans="7:16">
      <c r="G157" s="8"/>
      <c r="H157" s="8"/>
      <c r="I157" s="8"/>
      <c r="J157" s="8"/>
      <c r="K157" s="8"/>
      <c r="L157" s="8"/>
      <c r="M157" s="8"/>
      <c r="N157" s="8"/>
      <c r="O157" s="8"/>
      <c r="P157" s="8"/>
    </row>
    <row r="158" spans="7:16">
      <c r="G158" s="8"/>
      <c r="H158" s="8"/>
      <c r="I158" s="8"/>
      <c r="J158" s="8"/>
      <c r="K158" s="8"/>
      <c r="L158" s="8"/>
      <c r="M158" s="8"/>
      <c r="N158" s="8"/>
      <c r="O158" s="8"/>
      <c r="P158" s="8"/>
    </row>
    <row r="159" spans="7:16">
      <c r="G159" s="8"/>
      <c r="H159" s="8"/>
      <c r="I159" s="8"/>
      <c r="J159" s="8"/>
      <c r="K159" s="8"/>
      <c r="L159" s="8"/>
      <c r="M159" s="8"/>
      <c r="N159" s="8"/>
      <c r="O159" s="8"/>
      <c r="P159" s="8"/>
    </row>
    <row r="160" spans="7:16">
      <c r="G160" s="8"/>
      <c r="H160" s="8"/>
      <c r="I160" s="8"/>
      <c r="J160" s="8"/>
      <c r="K160" s="8"/>
      <c r="L160" s="8"/>
      <c r="M160" s="8"/>
      <c r="N160" s="8"/>
      <c r="O160" s="8"/>
      <c r="P160" s="8"/>
    </row>
    <row r="161" spans="7:16">
      <c r="G161" s="8"/>
      <c r="H161" s="8"/>
      <c r="I161" s="8"/>
      <c r="J161" s="8"/>
      <c r="K161" s="8"/>
      <c r="L161" s="8"/>
      <c r="M161" s="8"/>
      <c r="N161" s="8"/>
      <c r="O161" s="8"/>
      <c r="P161" s="8"/>
    </row>
    <row r="162" spans="7:16">
      <c r="G162" s="8"/>
      <c r="H162" s="8"/>
      <c r="I162" s="8"/>
      <c r="J162" s="8"/>
      <c r="K162" s="8"/>
      <c r="L162" s="8"/>
      <c r="M162" s="8"/>
      <c r="N162" s="8"/>
      <c r="O162" s="8"/>
      <c r="P162" s="8"/>
    </row>
    <row r="163" spans="7:16">
      <c r="G163" s="8"/>
      <c r="H163" s="8"/>
      <c r="I163" s="8"/>
      <c r="J163" s="8"/>
      <c r="K163" s="8"/>
      <c r="L163" s="8"/>
      <c r="M163" s="8"/>
      <c r="N163" s="8"/>
      <c r="O163" s="8"/>
      <c r="P163" s="8"/>
    </row>
    <row r="164" spans="7:16">
      <c r="G164" s="8"/>
      <c r="H164" s="8"/>
      <c r="I164" s="8"/>
      <c r="J164" s="8"/>
      <c r="K164" s="8"/>
      <c r="L164" s="8"/>
      <c r="M164" s="8"/>
      <c r="N164" s="8"/>
      <c r="O164" s="8"/>
      <c r="P164" s="8"/>
    </row>
    <row r="165" spans="7:16">
      <c r="G165" s="8"/>
      <c r="H165" s="8"/>
      <c r="I165" s="8"/>
      <c r="J165" s="8"/>
      <c r="K165" s="8"/>
      <c r="L165" s="8"/>
      <c r="M165" s="8"/>
      <c r="N165" s="8"/>
      <c r="O165" s="8"/>
      <c r="P165" s="8"/>
    </row>
    <row r="166" spans="7:16">
      <c r="G166" s="8"/>
      <c r="H166" s="8"/>
      <c r="I166" s="8"/>
      <c r="J166" s="8"/>
      <c r="K166" s="8"/>
      <c r="L166" s="8"/>
      <c r="M166" s="8"/>
      <c r="N166" s="8"/>
      <c r="O166" s="8"/>
      <c r="P166" s="8"/>
    </row>
    <row r="167" spans="7:16">
      <c r="G167" s="8"/>
      <c r="H167" s="8"/>
      <c r="I167" s="8"/>
      <c r="J167" s="8"/>
      <c r="K167" s="8"/>
      <c r="L167" s="8"/>
      <c r="M167" s="8"/>
      <c r="N167" s="8"/>
      <c r="O167" s="8"/>
      <c r="P167" s="8"/>
    </row>
    <row r="168" spans="7:16">
      <c r="G168" s="8"/>
      <c r="H168" s="8"/>
      <c r="I168" s="8"/>
      <c r="J168" s="8"/>
      <c r="K168" s="8"/>
      <c r="L168" s="8"/>
      <c r="M168" s="8"/>
      <c r="N168" s="8"/>
      <c r="O168" s="8"/>
      <c r="P168" s="8"/>
    </row>
    <row r="169" spans="7:16">
      <c r="G169" s="8"/>
      <c r="H169" s="8"/>
      <c r="I169" s="8"/>
      <c r="J169" s="8"/>
      <c r="K169" s="8"/>
      <c r="L169" s="8"/>
      <c r="M169" s="8"/>
      <c r="N169" s="8"/>
      <c r="O169" s="8"/>
      <c r="P169" s="8"/>
    </row>
    <row r="170" spans="7:16">
      <c r="G170" s="8"/>
      <c r="H170" s="8"/>
      <c r="I170" s="8"/>
      <c r="J170" s="8"/>
      <c r="K170" s="8"/>
      <c r="L170" s="8"/>
      <c r="M170" s="8"/>
      <c r="N170" s="8"/>
      <c r="O170" s="8"/>
      <c r="P170" s="8"/>
    </row>
    <row r="171" spans="7:16">
      <c r="G171" s="8"/>
      <c r="H171" s="8"/>
      <c r="I171" s="8"/>
      <c r="J171" s="8"/>
      <c r="K171" s="8"/>
      <c r="L171" s="8"/>
      <c r="M171" s="8"/>
      <c r="N171" s="8"/>
      <c r="O171" s="8"/>
      <c r="P171" s="8"/>
    </row>
    <row r="172" spans="7:16">
      <c r="G172" s="8"/>
      <c r="H172" s="8"/>
      <c r="I172" s="8"/>
      <c r="J172" s="8"/>
      <c r="K172" s="8"/>
      <c r="L172" s="8"/>
      <c r="M172" s="8"/>
      <c r="N172" s="8"/>
      <c r="O172" s="8"/>
      <c r="P172" s="8"/>
    </row>
    <row r="173" spans="7:16">
      <c r="G173" s="8"/>
      <c r="H173" s="8"/>
      <c r="I173" s="8"/>
      <c r="J173" s="8"/>
      <c r="K173" s="8"/>
      <c r="L173" s="8"/>
      <c r="M173" s="8"/>
      <c r="N173" s="8"/>
      <c r="O173" s="8"/>
      <c r="P173" s="8"/>
    </row>
    <row r="174" spans="7:16">
      <c r="G174" s="8"/>
      <c r="H174" s="8"/>
      <c r="I174" s="8"/>
      <c r="J174" s="8"/>
      <c r="K174" s="8"/>
      <c r="L174" s="8"/>
      <c r="M174" s="8"/>
      <c r="N174" s="8"/>
      <c r="O174" s="8"/>
      <c r="P174" s="8"/>
    </row>
    <row r="175" spans="7:16">
      <c r="G175" s="8"/>
      <c r="H175" s="8"/>
      <c r="I175" s="8"/>
      <c r="J175" s="8"/>
      <c r="K175" s="8"/>
      <c r="L175" s="8"/>
      <c r="M175" s="8"/>
      <c r="N175" s="8"/>
      <c r="O175" s="8"/>
      <c r="P175" s="8"/>
    </row>
    <row r="176" spans="7:16">
      <c r="G176" s="8"/>
      <c r="H176" s="8"/>
      <c r="I176" s="8"/>
      <c r="J176" s="8"/>
      <c r="K176" s="8"/>
      <c r="L176" s="8"/>
      <c r="M176" s="8"/>
      <c r="N176" s="8"/>
      <c r="O176" s="8"/>
      <c r="P176" s="8"/>
    </row>
    <row r="177" spans="7:16">
      <c r="G177" s="9"/>
      <c r="H177" s="9"/>
      <c r="I177" s="9"/>
      <c r="J177" s="9"/>
      <c r="K177" s="9"/>
      <c r="L177" s="9"/>
      <c r="M177" s="8"/>
      <c r="N177" s="8"/>
      <c r="O177" s="8"/>
      <c r="P177" s="8"/>
    </row>
    <row r="178" spans="7:16">
      <c r="G178" s="9"/>
      <c r="H178" s="9"/>
      <c r="I178" s="9"/>
      <c r="J178" s="9"/>
      <c r="K178" s="9"/>
      <c r="L178" s="9"/>
      <c r="M178" s="8"/>
      <c r="N178" s="8"/>
      <c r="O178" s="8"/>
      <c r="P178" s="8"/>
    </row>
    <row r="179" spans="7:16">
      <c r="G179" s="9"/>
      <c r="H179" s="9"/>
      <c r="I179" s="9"/>
      <c r="J179" s="9"/>
      <c r="K179" s="9"/>
      <c r="L179" s="9"/>
      <c r="M179" s="8"/>
      <c r="N179" s="8"/>
      <c r="O179" s="8"/>
      <c r="P179" s="8"/>
    </row>
    <row r="180" spans="7:16">
      <c r="G180" s="9"/>
      <c r="H180" s="9"/>
      <c r="I180" s="9"/>
      <c r="J180" s="9"/>
      <c r="K180" s="9"/>
      <c r="L180" s="9"/>
      <c r="M180" s="8"/>
      <c r="N180" s="8"/>
      <c r="O180" s="8"/>
      <c r="P180" s="8"/>
    </row>
    <row r="181" spans="7:16">
      <c r="G181" s="9"/>
      <c r="H181" s="9"/>
      <c r="I181" s="9"/>
      <c r="J181" s="9"/>
      <c r="K181" s="9"/>
      <c r="L181" s="9"/>
      <c r="M181" s="8"/>
      <c r="N181" s="8"/>
      <c r="O181" s="8"/>
      <c r="P181" s="8"/>
    </row>
    <row r="182" spans="7:16">
      <c r="G182" s="9"/>
      <c r="H182" s="9"/>
      <c r="I182" s="9"/>
      <c r="J182" s="9"/>
      <c r="K182" s="9"/>
      <c r="L182" s="9"/>
      <c r="M182" s="8"/>
      <c r="N182" s="8"/>
      <c r="O182" s="8"/>
      <c r="P182" s="8"/>
    </row>
    <row r="183" spans="7:16">
      <c r="G183" s="9"/>
      <c r="H183" s="9"/>
      <c r="I183" s="9"/>
      <c r="J183" s="9"/>
      <c r="K183" s="9"/>
      <c r="L183" s="9"/>
      <c r="M183" s="8"/>
      <c r="N183" s="8"/>
      <c r="O183" s="8"/>
      <c r="P183" s="8"/>
    </row>
    <row r="184" spans="7:16">
      <c r="G184" s="9"/>
      <c r="H184" s="9"/>
      <c r="I184" s="9"/>
      <c r="J184" s="9"/>
      <c r="K184" s="9"/>
      <c r="L184" s="9"/>
      <c r="M184" s="8"/>
      <c r="N184" s="8"/>
      <c r="O184" s="8"/>
      <c r="P184" s="8"/>
    </row>
    <row r="185" spans="7:16">
      <c r="G185" s="9"/>
      <c r="H185" s="9"/>
      <c r="I185" s="9"/>
      <c r="J185" s="9"/>
      <c r="K185" s="9"/>
      <c r="L185" s="9"/>
      <c r="M185" s="8"/>
      <c r="N185" s="8"/>
      <c r="O185" s="8"/>
      <c r="P185" s="8"/>
    </row>
    <row r="186" spans="7:16">
      <c r="P186" s="8"/>
    </row>
    <row r="187" spans="7:16">
      <c r="P187" s="8"/>
    </row>
    <row r="188" spans="7:16">
      <c r="P188" s="8"/>
    </row>
    <row r="189" spans="7:16">
      <c r="P189" s="8"/>
    </row>
    <row r="190" spans="7:16">
      <c r="P190" s="8"/>
    </row>
    <row r="191" spans="7:16">
      <c r="P191" s="8"/>
    </row>
    <row r="192" spans="7:16">
      <c r="P192" s="8"/>
    </row>
    <row r="193" spans="16:16">
      <c r="P193" s="8"/>
    </row>
    <row r="194" spans="16:16">
      <c r="P194" s="8"/>
    </row>
    <row r="195" spans="16:16">
      <c r="P195" s="8"/>
    </row>
    <row r="196" spans="16:16">
      <c r="P196" s="8"/>
    </row>
    <row r="197" spans="16:16">
      <c r="P197" s="8"/>
    </row>
    <row r="198" spans="16:16">
      <c r="P198" s="8"/>
    </row>
    <row r="199" spans="16:16">
      <c r="P199" s="8"/>
    </row>
    <row r="200" spans="16:16">
      <c r="P200" s="8"/>
    </row>
    <row r="201" spans="16:16">
      <c r="P201" s="8"/>
    </row>
    <row r="202" spans="16:16">
      <c r="P202" s="8"/>
    </row>
    <row r="203" spans="16:16">
      <c r="P203" s="8"/>
    </row>
    <row r="204" spans="16:16">
      <c r="P204" s="8"/>
    </row>
    <row r="205" spans="16:16">
      <c r="P205" s="8"/>
    </row>
    <row r="206" spans="16:16">
      <c r="P206" s="8"/>
    </row>
  </sheetData>
  <sheetProtection algorithmName="SHA-512" hashValue="ZyADCkrMjdXgcUsn3EN8MayG9KiqXhIUHqkanlASyu5hfe/uhfg3ra7vEfRpV6SReAER68PMxRO1TrvZtUl+gA==" saltValue="RbY1KAiKk0LkZtv9HUJ0DA==" spinCount="100000" sheet="1" objects="1" scenarios="1"/>
  <mergeCells count="3">
    <mergeCell ref="E2:H3"/>
    <mergeCell ref="B34:D34"/>
    <mergeCell ref="G34:J34"/>
  </mergeCells>
  <phoneticPr fontId="0" type="noConversion"/>
  <pageMargins left="0.75" right="0.75" top="1" bottom="1" header="0.5" footer="0.5"/>
  <pageSetup paperSize="9" scale="80" orientation="portrait" r:id="rId1"/>
  <headerFooter alignWithMargins="0"/>
  <drawing r:id="rId2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D22E578B-796B-4744-8E79-E7573111D363}">
          <x14:formula1>
            <xm:f>Blad1!$A$4:$A$6</xm:f>
          </x14:formula1>
          <xm:sqref>C26:C27</xm:sqref>
        </x14:dataValidation>
        <x14:dataValidation type="list" allowBlank="1" showInputMessage="1" showErrorMessage="1" xr:uid="{C73F0603-5734-4406-B221-4D8D48585A2E}">
          <x14:formula1>
            <xm:f>Blad1!$B$4:$B$5</xm:f>
          </x14:formula1>
          <xm:sqref>C30</xm:sqref>
        </x14:dataValidation>
        <x14:dataValidation type="list" allowBlank="1" showInputMessage="1" showErrorMessage="1" xr:uid="{5B55CDF8-925D-4C01-9161-815C0A836DD6}">
          <x14:formula1>
            <xm:f>Blad1!$D$4:$D$5</xm:f>
          </x14:formula1>
          <xm:sqref>C31:C32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ABB554-5C81-4B80-A133-47DD3565114C}">
  <dimension ref="A4:G20"/>
  <sheetViews>
    <sheetView zoomScale="160" zoomScaleNormal="160" workbookViewId="0">
      <selection activeCell="B7" sqref="B7"/>
    </sheetView>
  </sheetViews>
  <sheetFormatPr defaultRowHeight="15"/>
  <cols>
    <col min="5" max="5" width="12.21875" bestFit="1" customWidth="1"/>
    <col min="7" max="7" width="16.33203125" bestFit="1" customWidth="1"/>
  </cols>
  <sheetData>
    <row r="4" spans="1:7">
      <c r="A4" s="17">
        <v>0.18</v>
      </c>
      <c r="B4" s="17">
        <v>0.19</v>
      </c>
      <c r="C4" s="21">
        <v>0.35699999999999998</v>
      </c>
      <c r="D4" s="18">
        <v>0.245</v>
      </c>
    </row>
    <row r="5" spans="1:7">
      <c r="A5" s="17">
        <v>0.22</v>
      </c>
      <c r="B5" s="18">
        <v>0.25600000000000001</v>
      </c>
      <c r="C5" s="21">
        <v>0.37559999999999999</v>
      </c>
      <c r="D5" s="17">
        <v>0.31</v>
      </c>
    </row>
    <row r="6" spans="1:7">
      <c r="A6" s="17">
        <v>0.35</v>
      </c>
      <c r="C6" s="21">
        <v>0.495</v>
      </c>
    </row>
    <row r="11" spans="1:7">
      <c r="B11" t="s">
        <v>72</v>
      </c>
    </row>
    <row r="12" spans="1:7">
      <c r="F12" t="s">
        <v>16</v>
      </c>
    </row>
    <row r="13" spans="1:7">
      <c r="B13" t="s">
        <v>11</v>
      </c>
      <c r="E13" s="19">
        <f>Rekentool!C12</f>
        <v>100000</v>
      </c>
    </row>
    <row r="15" spans="1:7">
      <c r="E15" s="19">
        <f>MIN(E13,30000)</f>
        <v>30000</v>
      </c>
      <c r="F15" s="17">
        <f>Rekentool!C26</f>
        <v>0.22</v>
      </c>
      <c r="G15" s="20">
        <f>E15*F15</f>
        <v>6600</v>
      </c>
    </row>
    <row r="16" spans="1:7">
      <c r="E16" s="20">
        <f>MAX((E13-E15),0)</f>
        <v>70000</v>
      </c>
      <c r="F16" s="17">
        <f>Rekentool!C27</f>
        <v>0.22</v>
      </c>
      <c r="G16" s="20">
        <f>E16*F16</f>
        <v>15400</v>
      </c>
    </row>
    <row r="18" spans="5:7">
      <c r="E18" t="s">
        <v>50</v>
      </c>
      <c r="G18" s="20">
        <f>G15+G16</f>
        <v>22000</v>
      </c>
    </row>
    <row r="20" spans="5:7">
      <c r="G20">
        <f>G18/E13</f>
        <v>0.22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2</vt:i4>
      </vt:variant>
      <vt:variant>
        <vt:lpstr>Benoemde bereiken</vt:lpstr>
      </vt:variant>
      <vt:variant>
        <vt:i4>1</vt:i4>
      </vt:variant>
    </vt:vector>
  </HeadingPairs>
  <TitlesOfParts>
    <vt:vector size="3" baseType="lpstr">
      <vt:lpstr>Rekentool</vt:lpstr>
      <vt:lpstr>Blad1</vt:lpstr>
      <vt:lpstr>Rekentool!Afdrukbereik</vt:lpstr>
    </vt:vector>
  </TitlesOfParts>
  <Manager/>
  <Company>AMD automotive fiscalisten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Rekenmodel auto prive of zakelijk</dc:title>
  <dc:subject/>
  <dc:creator>AMD automotive fiscalisten</dc:creator>
  <cp:keywords/>
  <dc:description/>
  <cp:lastModifiedBy>David Bogaerds</cp:lastModifiedBy>
  <cp:revision/>
  <dcterms:created xsi:type="dcterms:W3CDTF">2000-01-26T12:59:49Z</dcterms:created>
  <dcterms:modified xsi:type="dcterms:W3CDTF">2025-12-02T06:18:10Z</dcterms:modified>
  <cp:category/>
  <cp:contentStatus/>
</cp:coreProperties>
</file>