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personalwealthbv-my.sharepoint.com/personal/david_personalwealth_nl/Documents/Documenten/Linkedin Marketing/"/>
    </mc:Choice>
  </mc:AlternateContent>
  <xr:revisionPtr revIDLastSave="389" documentId="8_{A43CEBDA-42A4-475D-AED6-7A9EC53D6890}" xr6:coauthVersionLast="47" xr6:coauthVersionMax="47" xr10:uidLastSave="{AF03937A-8BF2-47CB-9DA4-BC91DD0E2638}"/>
  <workbookProtection workbookAlgorithmName="SHA-512" workbookHashValue="skdNrk0Duo4DKYE9utuLVu3DXVTUV9n4On1aM+6FmJVar6Otvighsnz4o/5DxG7xuCBEaqpQ0zaEbsM1cbIk2g==" workbookSaltValue="SjLUiv/FwXaCsDqFk2JfXA==" workbookSpinCount="100000" lockStructure="1"/>
  <bookViews>
    <workbookView xWindow="-120" yWindow="-120" windowWidth="29040" windowHeight="15720" xr2:uid="{8C69246F-9EAF-465A-AE20-F964387E9309}"/>
  </bookViews>
  <sheets>
    <sheet name="Invoerblad" sheetId="1" r:id="rId1"/>
    <sheet name="Berekening" sheetId="2" r:id="rId2"/>
    <sheet name="Blad3" sheetId="3" state="hidden" r:id="rId3"/>
  </sheets>
  <calcPr calcId="191029" iterate="1" iterateDelta="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2" l="1"/>
  <c r="B3" i="2" s="1"/>
  <c r="B4" i="2" s="1"/>
  <c r="B5" i="2" s="1"/>
  <c r="B6" i="2" s="1"/>
  <c r="B7" i="2" s="1"/>
  <c r="B8" i="2" s="1"/>
  <c r="B9" i="2" s="1"/>
  <c r="B10" i="2" s="1"/>
  <c r="B11" i="2" s="1"/>
  <c r="B12" i="2" l="1"/>
  <c r="C21" i="1"/>
  <c r="C24" i="1" s="1"/>
  <c r="P2" i="2" s="1"/>
  <c r="L2" i="2"/>
  <c r="L3" i="2" s="1"/>
  <c r="L4" i="2" s="1"/>
  <c r="L5" i="2" s="1"/>
  <c r="L6" i="2" s="1"/>
  <c r="L7" i="2" s="1"/>
  <c r="L8" i="2" s="1"/>
  <c r="L9" i="2" s="1"/>
  <c r="L10" i="2" s="1"/>
  <c r="L11" i="2" s="1"/>
  <c r="L12" i="2" s="1"/>
  <c r="L13" i="2" s="1"/>
  <c r="L14" i="2" s="1"/>
  <c r="L15" i="2" s="1"/>
  <c r="L16" i="2" s="1"/>
  <c r="L17" i="2" s="1"/>
  <c r="L18" i="2" s="1"/>
  <c r="L19" i="2" s="1"/>
  <c r="L20" i="2" s="1"/>
  <c r="L21" i="2" s="1"/>
  <c r="L22" i="2" s="1"/>
  <c r="L23" i="2" s="1"/>
  <c r="L24" i="2" s="1"/>
  <c r="L25" i="2" s="1"/>
  <c r="L26" i="2" s="1"/>
  <c r="L27" i="2" s="1"/>
  <c r="L28" i="2" s="1"/>
  <c r="L29" i="2" s="1"/>
  <c r="L30" i="2" s="1"/>
  <c r="L31" i="2" s="1"/>
  <c r="L32" i="2" s="1"/>
  <c r="L33" i="2" s="1"/>
  <c r="L34" i="2" s="1"/>
  <c r="L35" i="2" s="1"/>
  <c r="L36" i="2" s="1"/>
  <c r="L37" i="2" s="1"/>
  <c r="L38" i="2" s="1"/>
  <c r="L39" i="2" s="1"/>
  <c r="L40" i="2" s="1"/>
  <c r="L41" i="2" s="1"/>
  <c r="L42" i="2" s="1"/>
  <c r="L43" i="2" s="1"/>
  <c r="L44" i="2" s="1"/>
  <c r="L45" i="2" s="1"/>
  <c r="L46" i="2" s="1"/>
  <c r="L47" i="2" s="1"/>
  <c r="L48" i="2" s="1"/>
  <c r="L49" i="2" s="1"/>
  <c r="L50" i="2" s="1"/>
  <c r="L51" i="2" s="1"/>
  <c r="L52" i="2" s="1"/>
  <c r="Y4" i="2"/>
  <c r="Z4" i="2"/>
  <c r="Y5" i="2"/>
  <c r="Z5" i="2"/>
  <c r="Y6" i="2"/>
  <c r="Z6" i="2"/>
  <c r="Y7" i="2"/>
  <c r="Z7" i="2"/>
  <c r="Y8" i="2"/>
  <c r="Z8" i="2"/>
  <c r="Y9" i="2"/>
  <c r="Z9" i="2"/>
  <c r="Y10" i="2"/>
  <c r="Z10" i="2"/>
  <c r="Y11" i="2"/>
  <c r="Z11" i="2"/>
  <c r="Y12" i="2"/>
  <c r="Z12" i="2"/>
  <c r="Y13" i="2"/>
  <c r="Z13" i="2"/>
  <c r="Y14" i="2"/>
  <c r="Z14" i="2"/>
  <c r="Y15" i="2"/>
  <c r="Z15" i="2"/>
  <c r="Y16" i="2"/>
  <c r="Z16" i="2"/>
  <c r="Y17" i="2"/>
  <c r="Z17" i="2"/>
  <c r="Y18" i="2"/>
  <c r="Z18" i="2"/>
  <c r="Y19" i="2"/>
  <c r="Z19" i="2"/>
  <c r="Y20" i="2"/>
  <c r="Z20" i="2"/>
  <c r="Y21" i="2"/>
  <c r="Z21" i="2"/>
  <c r="Y22" i="2"/>
  <c r="Z22" i="2"/>
  <c r="Y23" i="2"/>
  <c r="Z23" i="2"/>
  <c r="Y24" i="2"/>
  <c r="Z24" i="2"/>
  <c r="Y25" i="2"/>
  <c r="Z25" i="2"/>
  <c r="Y26" i="2"/>
  <c r="Z26" i="2"/>
  <c r="Y27" i="2"/>
  <c r="Z27" i="2"/>
  <c r="Y28" i="2"/>
  <c r="Z28" i="2"/>
  <c r="Y29" i="2"/>
  <c r="Z29" i="2"/>
  <c r="Y30" i="2"/>
  <c r="Z30" i="2"/>
  <c r="Y31" i="2"/>
  <c r="Z31" i="2"/>
  <c r="Y32" i="2"/>
  <c r="Z32" i="2"/>
  <c r="Y33" i="2"/>
  <c r="Z33" i="2"/>
  <c r="Y34" i="2"/>
  <c r="Z34" i="2"/>
  <c r="Y35" i="2"/>
  <c r="Z35" i="2"/>
  <c r="Y36" i="2"/>
  <c r="Z36" i="2"/>
  <c r="Y37" i="2"/>
  <c r="Z37" i="2"/>
  <c r="Y38" i="2"/>
  <c r="Z38" i="2"/>
  <c r="Y39" i="2"/>
  <c r="Z39" i="2"/>
  <c r="Y40" i="2"/>
  <c r="Z40" i="2"/>
  <c r="Y41" i="2"/>
  <c r="Z41" i="2"/>
  <c r="Y42" i="2"/>
  <c r="Z42" i="2"/>
  <c r="Y43" i="2"/>
  <c r="Z43" i="2"/>
  <c r="Y44" i="2"/>
  <c r="Z44" i="2"/>
  <c r="Y45" i="2"/>
  <c r="Z45" i="2"/>
  <c r="Y46" i="2"/>
  <c r="Z46" i="2"/>
  <c r="Y47" i="2"/>
  <c r="Z47" i="2"/>
  <c r="Y48" i="2"/>
  <c r="Z48" i="2"/>
  <c r="Y49" i="2"/>
  <c r="Z49" i="2"/>
  <c r="Y50" i="2"/>
  <c r="Z50" i="2"/>
  <c r="Y51" i="2"/>
  <c r="Z51" i="2"/>
  <c r="Y52" i="2"/>
  <c r="Z52" i="2"/>
  <c r="Z3" i="2"/>
  <c r="Y3" i="2"/>
  <c r="X3" i="2"/>
  <c r="X4" i="2" s="1"/>
  <c r="X5" i="2" s="1"/>
  <c r="X6" i="2" s="1"/>
  <c r="X7" i="2" s="1"/>
  <c r="X8" i="2" s="1"/>
  <c r="X9" i="2" s="1"/>
  <c r="X10" i="2" s="1"/>
  <c r="X11" i="2" s="1"/>
  <c r="X12" i="2" s="1"/>
  <c r="X13" i="2" s="1"/>
  <c r="X14" i="2" s="1"/>
  <c r="X15" i="2" s="1"/>
  <c r="X16" i="2" s="1"/>
  <c r="X17" i="2" s="1"/>
  <c r="X18" i="2" s="1"/>
  <c r="X19" i="2" s="1"/>
  <c r="X20" i="2" s="1"/>
  <c r="X21" i="2" s="1"/>
  <c r="X22" i="2" s="1"/>
  <c r="X23" i="2" s="1"/>
  <c r="X24" i="2" s="1"/>
  <c r="X25" i="2" s="1"/>
  <c r="X26" i="2" s="1"/>
  <c r="X27" i="2" s="1"/>
  <c r="X28" i="2" s="1"/>
  <c r="X29" i="2" s="1"/>
  <c r="X30" i="2" s="1"/>
  <c r="X31" i="2" s="1"/>
  <c r="X32" i="2" s="1"/>
  <c r="X33" i="2" s="1"/>
  <c r="X34" i="2" s="1"/>
  <c r="X35" i="2" s="1"/>
  <c r="X36" i="2" s="1"/>
  <c r="X37" i="2" s="1"/>
  <c r="X38" i="2" s="1"/>
  <c r="X39" i="2" s="1"/>
  <c r="X40" i="2" s="1"/>
  <c r="X41" i="2" s="1"/>
  <c r="X42" i="2" s="1"/>
  <c r="X43" i="2" s="1"/>
  <c r="X44" i="2" s="1"/>
  <c r="X45" i="2" s="1"/>
  <c r="X46" i="2" s="1"/>
  <c r="X47" i="2" s="1"/>
  <c r="X48" i="2" s="1"/>
  <c r="X49" i="2" s="1"/>
  <c r="X50" i="2" s="1"/>
  <c r="X51" i="2" s="1"/>
  <c r="X52" i="2" s="1"/>
  <c r="V3" i="2"/>
  <c r="V4" i="2" s="1"/>
  <c r="V5" i="2" s="1"/>
  <c r="V6" i="2" s="1"/>
  <c r="V7" i="2" s="1"/>
  <c r="V8" i="2" s="1"/>
  <c r="V9" i="2" s="1"/>
  <c r="V10" i="2" s="1"/>
  <c r="V11" i="2" s="1"/>
  <c r="V12" i="2" s="1"/>
  <c r="V13" i="2" s="1"/>
  <c r="V14" i="2" s="1"/>
  <c r="V15" i="2" s="1"/>
  <c r="V16" i="2" s="1"/>
  <c r="V17" i="2" s="1"/>
  <c r="V18" i="2" s="1"/>
  <c r="V19" i="2" s="1"/>
  <c r="V20" i="2" s="1"/>
  <c r="V21" i="2" s="1"/>
  <c r="V22" i="2" s="1"/>
  <c r="V23" i="2" s="1"/>
  <c r="V24" i="2" s="1"/>
  <c r="V25" i="2" s="1"/>
  <c r="V26" i="2" s="1"/>
  <c r="V27" i="2" s="1"/>
  <c r="V28" i="2" s="1"/>
  <c r="V29" i="2" s="1"/>
  <c r="V30" i="2" s="1"/>
  <c r="V31" i="2" s="1"/>
  <c r="V32" i="2" s="1"/>
  <c r="V33" i="2" s="1"/>
  <c r="V34" i="2" s="1"/>
  <c r="V35" i="2" s="1"/>
  <c r="V36" i="2" s="1"/>
  <c r="V37" i="2" s="1"/>
  <c r="V38" i="2" s="1"/>
  <c r="V39" i="2" s="1"/>
  <c r="V40" i="2" s="1"/>
  <c r="V41" i="2" s="1"/>
  <c r="V42" i="2" s="1"/>
  <c r="V43" i="2" s="1"/>
  <c r="V44" i="2" s="1"/>
  <c r="V45" i="2" s="1"/>
  <c r="V46" i="2" s="1"/>
  <c r="V47" i="2" s="1"/>
  <c r="V48" i="2" s="1"/>
  <c r="V49" i="2" s="1"/>
  <c r="V50" i="2" s="1"/>
  <c r="V51" i="2" s="1"/>
  <c r="V52" i="2" s="1"/>
  <c r="AF3" i="2"/>
  <c r="AF4" i="2" s="1"/>
  <c r="AF5" i="2" s="1"/>
  <c r="AF6" i="2" s="1"/>
  <c r="AF7" i="2" s="1"/>
  <c r="AF8" i="2" s="1"/>
  <c r="AF9" i="2" s="1"/>
  <c r="AF10" i="2" s="1"/>
  <c r="AF11" i="2" s="1"/>
  <c r="AF12" i="2" s="1"/>
  <c r="AF13" i="2" s="1"/>
  <c r="AF14" i="2" s="1"/>
  <c r="AF15" i="2" s="1"/>
  <c r="AF16" i="2" s="1"/>
  <c r="AF17" i="2" s="1"/>
  <c r="AF18" i="2" s="1"/>
  <c r="AF19" i="2" s="1"/>
  <c r="AF20" i="2" s="1"/>
  <c r="AF21" i="2" s="1"/>
  <c r="AF22" i="2" s="1"/>
  <c r="AF23" i="2" s="1"/>
  <c r="AF24" i="2" s="1"/>
  <c r="AF25" i="2" s="1"/>
  <c r="AF26" i="2" s="1"/>
  <c r="AF27" i="2" s="1"/>
  <c r="AF28" i="2" s="1"/>
  <c r="AF29" i="2" s="1"/>
  <c r="AF30" i="2" s="1"/>
  <c r="AF31" i="2" s="1"/>
  <c r="AF32" i="2" s="1"/>
  <c r="AF33" i="2" s="1"/>
  <c r="AF34" i="2" s="1"/>
  <c r="AF35" i="2" s="1"/>
  <c r="AF36" i="2" s="1"/>
  <c r="AF37" i="2" s="1"/>
  <c r="AF38" i="2" s="1"/>
  <c r="AF39" i="2" s="1"/>
  <c r="AF40" i="2" s="1"/>
  <c r="AF41" i="2" s="1"/>
  <c r="AF42" i="2" s="1"/>
  <c r="AF43" i="2" s="1"/>
  <c r="AF44" i="2" s="1"/>
  <c r="AF45" i="2" s="1"/>
  <c r="AF46" i="2" s="1"/>
  <c r="AF47" i="2" s="1"/>
  <c r="AF48" i="2" s="1"/>
  <c r="AF49" i="2" s="1"/>
  <c r="AF50" i="2" s="1"/>
  <c r="AF51" i="2" s="1"/>
  <c r="AF52" i="2" s="1"/>
  <c r="AE3" i="2"/>
  <c r="AE4" i="2" s="1"/>
  <c r="AE5" i="2" s="1"/>
  <c r="AE6" i="2" s="1"/>
  <c r="AE7" i="2" s="1"/>
  <c r="AE8" i="2" s="1"/>
  <c r="AE9" i="2" s="1"/>
  <c r="AE10" i="2" s="1"/>
  <c r="AE11" i="2" s="1"/>
  <c r="AE12" i="2" s="1"/>
  <c r="AE13" i="2" s="1"/>
  <c r="AE14" i="2" s="1"/>
  <c r="AE15" i="2" s="1"/>
  <c r="AE16" i="2" s="1"/>
  <c r="AE17" i="2" s="1"/>
  <c r="AE18" i="2" s="1"/>
  <c r="AE19" i="2" s="1"/>
  <c r="AE20" i="2" s="1"/>
  <c r="AE21" i="2" s="1"/>
  <c r="AE22" i="2" s="1"/>
  <c r="AE23" i="2" s="1"/>
  <c r="AE24" i="2" s="1"/>
  <c r="AE25" i="2" s="1"/>
  <c r="AE26" i="2" s="1"/>
  <c r="AE27" i="2" s="1"/>
  <c r="AE28" i="2" s="1"/>
  <c r="AE29" i="2" s="1"/>
  <c r="AE30" i="2" s="1"/>
  <c r="AE31" i="2" s="1"/>
  <c r="AE32" i="2" s="1"/>
  <c r="AE33" i="2" s="1"/>
  <c r="AE34" i="2" s="1"/>
  <c r="AE35" i="2" s="1"/>
  <c r="AE36" i="2" s="1"/>
  <c r="AE37" i="2" s="1"/>
  <c r="AE38" i="2" s="1"/>
  <c r="AE39" i="2" s="1"/>
  <c r="AE40" i="2" s="1"/>
  <c r="AE41" i="2" s="1"/>
  <c r="AE42" i="2" s="1"/>
  <c r="AE43" i="2" s="1"/>
  <c r="AE44" i="2" s="1"/>
  <c r="AE45" i="2" s="1"/>
  <c r="AE46" i="2" s="1"/>
  <c r="AE47" i="2" s="1"/>
  <c r="AE48" i="2" s="1"/>
  <c r="AE49" i="2" s="1"/>
  <c r="AE50" i="2" s="1"/>
  <c r="AE51" i="2" s="1"/>
  <c r="AE52" i="2" s="1"/>
  <c r="AC3" i="2"/>
  <c r="AC4" i="2" s="1"/>
  <c r="AC5" i="2" s="1"/>
  <c r="AC6" i="2" s="1"/>
  <c r="AC7" i="2" s="1"/>
  <c r="AC8" i="2" s="1"/>
  <c r="AC9" i="2" s="1"/>
  <c r="AC10" i="2" s="1"/>
  <c r="AC11" i="2" s="1"/>
  <c r="AC12" i="2" s="1"/>
  <c r="AC13" i="2" s="1"/>
  <c r="AC14" i="2" s="1"/>
  <c r="AC15" i="2" s="1"/>
  <c r="AC16" i="2" s="1"/>
  <c r="AC17" i="2" s="1"/>
  <c r="AC18" i="2" s="1"/>
  <c r="AC19" i="2" s="1"/>
  <c r="AC20" i="2" s="1"/>
  <c r="AC21" i="2" s="1"/>
  <c r="AC22" i="2" s="1"/>
  <c r="AC23" i="2" s="1"/>
  <c r="AC24" i="2" s="1"/>
  <c r="AC25" i="2" s="1"/>
  <c r="AC26" i="2" s="1"/>
  <c r="AC27" i="2" s="1"/>
  <c r="AC28" i="2" s="1"/>
  <c r="AC29" i="2" s="1"/>
  <c r="AC30" i="2" s="1"/>
  <c r="AC31" i="2" s="1"/>
  <c r="AC32" i="2" s="1"/>
  <c r="AC33" i="2" s="1"/>
  <c r="AC34" i="2" s="1"/>
  <c r="AC35" i="2" s="1"/>
  <c r="AC36" i="2" s="1"/>
  <c r="AC37" i="2" s="1"/>
  <c r="AC38" i="2" s="1"/>
  <c r="AC39" i="2" s="1"/>
  <c r="AC40" i="2" s="1"/>
  <c r="AC41" i="2" s="1"/>
  <c r="AC42" i="2" s="1"/>
  <c r="AC43" i="2" s="1"/>
  <c r="AC44" i="2" s="1"/>
  <c r="AC45" i="2" s="1"/>
  <c r="AC46" i="2" s="1"/>
  <c r="AC47" i="2" s="1"/>
  <c r="AC48" i="2" s="1"/>
  <c r="AC49" i="2" s="1"/>
  <c r="AC50" i="2" s="1"/>
  <c r="AC51" i="2" s="1"/>
  <c r="AC52" i="2" s="1"/>
  <c r="W3" i="2"/>
  <c r="W4" i="2" s="1"/>
  <c r="W5" i="2" s="1"/>
  <c r="W6" i="2" s="1"/>
  <c r="W7" i="2" s="1"/>
  <c r="W8" i="2" s="1"/>
  <c r="W9" i="2" s="1"/>
  <c r="W10" i="2" s="1"/>
  <c r="W11" i="2" s="1"/>
  <c r="W12" i="2" s="1"/>
  <c r="W13" i="2" s="1"/>
  <c r="W14" i="2" s="1"/>
  <c r="W15" i="2" s="1"/>
  <c r="W16" i="2" s="1"/>
  <c r="W17" i="2" s="1"/>
  <c r="W18" i="2" s="1"/>
  <c r="W19" i="2" s="1"/>
  <c r="W20" i="2" s="1"/>
  <c r="W21" i="2" s="1"/>
  <c r="W22" i="2" s="1"/>
  <c r="W23" i="2" s="1"/>
  <c r="W24" i="2" s="1"/>
  <c r="W25" i="2" s="1"/>
  <c r="W26" i="2" s="1"/>
  <c r="W27" i="2" s="1"/>
  <c r="W28" i="2" s="1"/>
  <c r="W29" i="2" s="1"/>
  <c r="W30" i="2" s="1"/>
  <c r="W31" i="2" s="1"/>
  <c r="W32" i="2" s="1"/>
  <c r="W33" i="2" s="1"/>
  <c r="W34" i="2" s="1"/>
  <c r="W35" i="2" s="1"/>
  <c r="W36" i="2" s="1"/>
  <c r="W37" i="2" s="1"/>
  <c r="W38" i="2" s="1"/>
  <c r="W39" i="2" s="1"/>
  <c r="W40" i="2" s="1"/>
  <c r="W41" i="2" s="1"/>
  <c r="W42" i="2" s="1"/>
  <c r="W43" i="2" s="1"/>
  <c r="W44" i="2" s="1"/>
  <c r="W45" i="2" s="1"/>
  <c r="W46" i="2" s="1"/>
  <c r="W47" i="2" s="1"/>
  <c r="W48" i="2" s="1"/>
  <c r="W49" i="2" s="1"/>
  <c r="W50" i="2" s="1"/>
  <c r="W51" i="2" s="1"/>
  <c r="W52" i="2" s="1"/>
  <c r="A2" i="2"/>
  <c r="F2" i="2"/>
  <c r="H2" i="2" l="1"/>
  <c r="G2" i="2"/>
  <c r="A3" i="2"/>
  <c r="A4" i="2" s="1"/>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B13" i="2"/>
  <c r="AB46" i="2"/>
  <c r="AB22" i="2"/>
  <c r="AB21" i="2"/>
  <c r="AB34" i="2"/>
  <c r="AB12" i="2"/>
  <c r="AB33" i="2"/>
  <c r="AB11" i="2"/>
  <c r="AB50" i="2"/>
  <c r="AB30" i="2"/>
  <c r="AB6" i="2"/>
  <c r="AB48" i="2"/>
  <c r="AB27" i="2"/>
  <c r="AB47" i="2"/>
  <c r="AB26" i="2"/>
  <c r="AB5" i="2"/>
  <c r="AB20" i="2"/>
  <c r="AB40" i="2"/>
  <c r="AB18" i="2"/>
  <c r="AB36" i="2"/>
  <c r="AB17" i="2"/>
  <c r="AB41" i="2"/>
  <c r="AB35" i="2"/>
  <c r="AB16" i="2"/>
  <c r="AB51" i="2"/>
  <c r="AB32" i="2"/>
  <c r="AB8" i="2"/>
  <c r="AB45" i="2"/>
  <c r="AB44" i="2"/>
  <c r="AB29" i="2"/>
  <c r="AB15" i="2"/>
  <c r="AB42" i="2"/>
  <c r="AB28" i="2"/>
  <c r="AB14" i="2"/>
  <c r="AB3" i="2"/>
  <c r="AB39" i="2"/>
  <c r="AB24" i="2"/>
  <c r="AB10" i="2"/>
  <c r="AB52" i="2"/>
  <c r="AB38" i="2"/>
  <c r="AB23" i="2"/>
  <c r="AB9" i="2"/>
  <c r="AD29" i="2"/>
  <c r="AD17" i="2"/>
  <c r="AD10" i="2"/>
  <c r="AD41" i="2"/>
  <c r="AD52" i="2"/>
  <c r="AD22" i="2"/>
  <c r="AD15" i="2"/>
  <c r="AD47" i="2"/>
  <c r="AD23" i="2"/>
  <c r="AD11" i="2"/>
  <c r="AD21" i="2"/>
  <c r="AD40" i="2"/>
  <c r="AD16" i="2"/>
  <c r="AD39" i="2"/>
  <c r="AD27" i="2"/>
  <c r="AD9" i="2"/>
  <c r="AD32" i="2"/>
  <c r="AB49" i="2"/>
  <c r="AB43" i="2"/>
  <c r="AB37" i="2"/>
  <c r="AB31" i="2"/>
  <c r="AB25" i="2"/>
  <c r="AB19" i="2"/>
  <c r="AB13" i="2"/>
  <c r="AB7" i="2"/>
  <c r="AD35" i="2"/>
  <c r="AD46" i="2"/>
  <c r="AD34" i="2"/>
  <c r="AD28" i="2"/>
  <c r="AD3" i="2"/>
  <c r="AD5" i="2"/>
  <c r="AD51" i="2"/>
  <c r="AD45" i="2"/>
  <c r="AD33" i="2"/>
  <c r="AD50" i="2"/>
  <c r="AD44" i="2"/>
  <c r="AD38" i="2"/>
  <c r="AD26" i="2"/>
  <c r="AD20" i="2"/>
  <c r="AD14" i="2"/>
  <c r="AD8" i="2"/>
  <c r="AD49" i="2"/>
  <c r="AD43" i="2"/>
  <c r="AD37" i="2"/>
  <c r="AD31" i="2"/>
  <c r="AD25" i="2"/>
  <c r="AD19" i="2"/>
  <c r="AD13" i="2"/>
  <c r="AD7" i="2"/>
  <c r="AD4" i="2"/>
  <c r="AD48" i="2"/>
  <c r="AD42" i="2"/>
  <c r="AD36" i="2"/>
  <c r="AD30" i="2"/>
  <c r="AD24" i="2"/>
  <c r="AD18" i="2"/>
  <c r="AD12" i="2"/>
  <c r="AD6" i="2"/>
  <c r="AB4" i="2"/>
  <c r="F3" i="2"/>
  <c r="H3" i="2" s="1"/>
  <c r="B14" i="2" l="1"/>
  <c r="I2" i="2"/>
  <c r="G3" i="2"/>
  <c r="A31" i="2"/>
  <c r="F4" i="2"/>
  <c r="H4" i="2" s="1"/>
  <c r="AH2" i="2" l="1"/>
  <c r="AK2" i="2" s="1"/>
  <c r="B15" i="2"/>
  <c r="I3" i="2"/>
  <c r="G4" i="2"/>
  <c r="A32" i="2"/>
  <c r="F5" i="2"/>
  <c r="H5" i="2" s="1"/>
  <c r="AI2" i="2" l="1"/>
  <c r="AJ2" i="2" s="1"/>
  <c r="AN2" i="2" s="1"/>
  <c r="AH3" i="2"/>
  <c r="AK3" i="2" s="1"/>
  <c r="B16" i="2"/>
  <c r="I4" i="2"/>
  <c r="G5" i="2"/>
  <c r="A33" i="2"/>
  <c r="F6" i="2"/>
  <c r="H6" i="2" s="1"/>
  <c r="AL2" i="2" l="1"/>
  <c r="J2" i="2" s="1"/>
  <c r="AI3" i="2"/>
  <c r="AJ3" i="2" s="1"/>
  <c r="AN3" i="2" s="1"/>
  <c r="AH4" i="2"/>
  <c r="AK4" i="2" s="1"/>
  <c r="K2" i="2"/>
  <c r="M2" i="2" s="1"/>
  <c r="Q2" i="2" s="1"/>
  <c r="R2" i="2" s="1"/>
  <c r="S2" i="2" s="1"/>
  <c r="T2" i="2" s="1"/>
  <c r="P3" i="2" s="1"/>
  <c r="B17" i="2"/>
  <c r="I5" i="2"/>
  <c r="G6" i="2"/>
  <c r="A34" i="2"/>
  <c r="F7" i="2"/>
  <c r="H7" i="2" s="1"/>
  <c r="AL3" i="2" l="1"/>
  <c r="J3" i="2" s="1"/>
  <c r="K3" i="2" s="1"/>
  <c r="M3" i="2" s="1"/>
  <c r="Q3" i="2" s="1"/>
  <c r="R3" i="2" s="1"/>
  <c r="S3" i="2" s="1"/>
  <c r="T3" i="2" s="1"/>
  <c r="P4" i="2" s="1"/>
  <c r="AI4" i="2"/>
  <c r="AJ4" i="2" s="1"/>
  <c r="AL4" i="2" s="1"/>
  <c r="J4" i="2" s="1"/>
  <c r="K4" i="2" s="1"/>
  <c r="M4" i="2" s="1"/>
  <c r="Q4" i="2" s="1"/>
  <c r="N2" i="2"/>
  <c r="AH5" i="2"/>
  <c r="B18" i="2"/>
  <c r="I6" i="2"/>
  <c r="G7" i="2"/>
  <c r="A35" i="2"/>
  <c r="F8" i="2"/>
  <c r="H8" i="2" s="1"/>
  <c r="N3" i="2" l="1"/>
  <c r="AN4" i="2"/>
  <c r="R4" i="2"/>
  <c r="S4" i="2" s="1"/>
  <c r="T4" i="2" s="1"/>
  <c r="P5" i="2" s="1"/>
  <c r="N4" i="2"/>
  <c r="AH6" i="2"/>
  <c r="AK5" i="2"/>
  <c r="AI5" i="2"/>
  <c r="B19" i="2"/>
  <c r="I7" i="2"/>
  <c r="G8" i="2"/>
  <c r="A36" i="2"/>
  <c r="F9" i="2"/>
  <c r="H9" i="2" s="1"/>
  <c r="AJ5" i="2" l="1"/>
  <c r="AL5" i="2" s="1"/>
  <c r="J5" i="2" s="1"/>
  <c r="AN5" i="2"/>
  <c r="K5" i="2"/>
  <c r="M5" i="2" s="1"/>
  <c r="Q5" i="2" s="1"/>
  <c r="R5" i="2" s="1"/>
  <c r="S5" i="2" s="1"/>
  <c r="T5" i="2" s="1"/>
  <c r="P6" i="2" s="1"/>
  <c r="AH7" i="2"/>
  <c r="AK6" i="2"/>
  <c r="AI6" i="2"/>
  <c r="B20" i="2"/>
  <c r="I8" i="2"/>
  <c r="G9" i="2"/>
  <c r="A37" i="2"/>
  <c r="F10" i="2"/>
  <c r="H10" i="2" s="1"/>
  <c r="N5" i="2" l="1"/>
  <c r="AH8" i="2"/>
  <c r="AK7" i="2"/>
  <c r="AI7" i="2"/>
  <c r="AJ6" i="2"/>
  <c r="AL6" i="2" s="1"/>
  <c r="J6" i="2" s="1"/>
  <c r="B21" i="2"/>
  <c r="I9" i="2"/>
  <c r="G10" i="2"/>
  <c r="A38" i="2"/>
  <c r="F11" i="2"/>
  <c r="H11" i="2" s="1"/>
  <c r="AN6" i="2" l="1"/>
  <c r="K6" i="2"/>
  <c r="M6" i="2" s="1"/>
  <c r="Q6" i="2" s="1"/>
  <c r="R6" i="2" s="1"/>
  <c r="S6" i="2" s="1"/>
  <c r="T6" i="2" s="1"/>
  <c r="P7" i="2" s="1"/>
  <c r="AH9" i="2"/>
  <c r="AI9" i="2" s="1"/>
  <c r="AJ7" i="2"/>
  <c r="AN7" i="2" s="1"/>
  <c r="AI8" i="2"/>
  <c r="AK8" i="2"/>
  <c r="B22" i="2"/>
  <c r="I10" i="2"/>
  <c r="G11" i="2"/>
  <c r="A39" i="2"/>
  <c r="F12" i="2"/>
  <c r="H12" i="2" s="1"/>
  <c r="N6" i="2" l="1"/>
  <c r="AL7" i="2"/>
  <c r="J7" i="2" s="1"/>
  <c r="AK9" i="2"/>
  <c r="AJ9" i="2" s="1"/>
  <c r="AL9" i="2" s="1"/>
  <c r="J9" i="2" s="1"/>
  <c r="AH10" i="2"/>
  <c r="AK10" i="2" s="1"/>
  <c r="AJ8" i="2"/>
  <c r="AL8" i="2" s="1"/>
  <c r="J8" i="2" s="1"/>
  <c r="B23" i="2"/>
  <c r="I11" i="2"/>
  <c r="G12" i="2"/>
  <c r="A40" i="2"/>
  <c r="F13" i="2"/>
  <c r="H13" i="2" s="1"/>
  <c r="AI10" i="2" l="1"/>
  <c r="AJ10" i="2" s="1"/>
  <c r="AL10" i="2" s="1"/>
  <c r="J10" i="2" s="1"/>
  <c r="K10" i="2" s="1"/>
  <c r="M10" i="2" s="1"/>
  <c r="AN9" i="2"/>
  <c r="K8" i="2"/>
  <c r="M8" i="2" s="1"/>
  <c r="Q8" i="2" s="1"/>
  <c r="K9" i="2"/>
  <c r="M9" i="2" s="1"/>
  <c r="Q9" i="2" s="1"/>
  <c r="K7" i="2"/>
  <c r="M7" i="2" s="1"/>
  <c r="Q7" i="2" s="1"/>
  <c r="R7" i="2" s="1"/>
  <c r="S7" i="2" s="1"/>
  <c r="T7" i="2" s="1"/>
  <c r="P8" i="2" s="1"/>
  <c r="R8" i="2" s="1"/>
  <c r="AH11" i="2"/>
  <c r="AI11" i="2" s="1"/>
  <c r="AN8" i="2"/>
  <c r="B24" i="2"/>
  <c r="I12" i="2"/>
  <c r="G13" i="2"/>
  <c r="A41" i="2"/>
  <c r="F14" i="2"/>
  <c r="H14" i="2" s="1"/>
  <c r="AN10" i="2" l="1"/>
  <c r="N8" i="2"/>
  <c r="Q10" i="2"/>
  <c r="N10" i="2"/>
  <c r="N9" i="2"/>
  <c r="N7" i="2"/>
  <c r="S8" i="2"/>
  <c r="T8" i="2" s="1"/>
  <c r="P9" i="2" s="1"/>
  <c r="R9" i="2" s="1"/>
  <c r="AH12" i="2"/>
  <c r="AK11" i="2"/>
  <c r="AJ11" i="2" s="1"/>
  <c r="AL11" i="2" s="1"/>
  <c r="J11" i="2" s="1"/>
  <c r="B25" i="2"/>
  <c r="I13" i="2"/>
  <c r="G14" i="2"/>
  <c r="A42" i="2"/>
  <c r="F15" i="2"/>
  <c r="H15" i="2" s="1"/>
  <c r="S9" i="2" l="1"/>
  <c r="T9" i="2" s="1"/>
  <c r="P10" i="2" s="1"/>
  <c r="R10" i="2" s="1"/>
  <c r="K11" i="2"/>
  <c r="M11" i="2" s="1"/>
  <c r="Q11" i="2" s="1"/>
  <c r="AH13" i="2"/>
  <c r="AI13" i="2" s="1"/>
  <c r="AN11" i="2"/>
  <c r="AK12" i="2"/>
  <c r="AI12" i="2"/>
  <c r="B26" i="2"/>
  <c r="I14" i="2"/>
  <c r="G15" i="2"/>
  <c r="A43" i="2"/>
  <c r="F16" i="2"/>
  <c r="H16" i="2" s="1"/>
  <c r="AK13" i="2" l="1"/>
  <c r="AJ13" i="2" s="1"/>
  <c r="AL13" i="2" s="1"/>
  <c r="J13" i="2" s="1"/>
  <c r="K13" i="2" s="1"/>
  <c r="M13" i="2" s="1"/>
  <c r="Q13" i="2" s="1"/>
  <c r="N11" i="2"/>
  <c r="AH14" i="2"/>
  <c r="AJ12" i="2"/>
  <c r="AL12" i="2" s="1"/>
  <c r="J12" i="2" s="1"/>
  <c r="B27" i="2"/>
  <c r="I15" i="2"/>
  <c r="G16" i="2"/>
  <c r="S10" i="2"/>
  <c r="T10" i="2" s="1"/>
  <c r="A44" i="2"/>
  <c r="F17" i="2"/>
  <c r="H17" i="2" s="1"/>
  <c r="AN13" i="2" l="1"/>
  <c r="AN12" i="2"/>
  <c r="N13" i="2"/>
  <c r="K12" i="2"/>
  <c r="M12" i="2" s="1"/>
  <c r="Q12" i="2" s="1"/>
  <c r="AH15" i="2"/>
  <c r="AK14" i="2"/>
  <c r="AI14" i="2"/>
  <c r="AJ14" i="2" s="1"/>
  <c r="AL14" i="2" s="1"/>
  <c r="J14" i="2" s="1"/>
  <c r="B28" i="2"/>
  <c r="I16" i="2"/>
  <c r="G17" i="2"/>
  <c r="P11" i="2"/>
  <c r="R11" i="2" s="1"/>
  <c r="A45" i="2"/>
  <c r="F18" i="2"/>
  <c r="H18" i="2" s="1"/>
  <c r="N12" i="2" l="1"/>
  <c r="AN14" i="2"/>
  <c r="K14" i="2"/>
  <c r="M14" i="2" s="1"/>
  <c r="Q14" i="2" s="1"/>
  <c r="AH16" i="2"/>
  <c r="AK15" i="2"/>
  <c r="AI15" i="2"/>
  <c r="B29" i="2"/>
  <c r="I17" i="2"/>
  <c r="G18" i="2"/>
  <c r="S11" i="2"/>
  <c r="T11" i="2" s="1"/>
  <c r="A46" i="2"/>
  <c r="F19" i="2"/>
  <c r="H19" i="2" s="1"/>
  <c r="N14" i="2" l="1"/>
  <c r="AJ15" i="2"/>
  <c r="AL15" i="2" s="1"/>
  <c r="J15" i="2" s="1"/>
  <c r="AN15" i="2"/>
  <c r="AH17" i="2"/>
  <c r="AK17" i="2" s="1"/>
  <c r="AK16" i="2"/>
  <c r="AI16" i="2"/>
  <c r="B30" i="2"/>
  <c r="I18" i="2"/>
  <c r="G19" i="2"/>
  <c r="P12" i="2"/>
  <c r="R12" i="2" s="1"/>
  <c r="A47" i="2"/>
  <c r="F20" i="2"/>
  <c r="H20" i="2" s="1"/>
  <c r="AI17" i="2" l="1"/>
  <c r="AJ17" i="2" s="1"/>
  <c r="AL17" i="2" s="1"/>
  <c r="J17" i="2" s="1"/>
  <c r="AJ16" i="2"/>
  <c r="AL16" i="2" s="1"/>
  <c r="J16" i="2" s="1"/>
  <c r="K16" i="2" s="1"/>
  <c r="M16" i="2" s="1"/>
  <c r="Q16" i="2" s="1"/>
  <c r="K17" i="2"/>
  <c r="M17" i="2" s="1"/>
  <c r="Q17" i="2" s="1"/>
  <c r="K15" i="2"/>
  <c r="M15" i="2" s="1"/>
  <c r="Q15" i="2" s="1"/>
  <c r="AH18" i="2"/>
  <c r="AN17" i="2"/>
  <c r="B31" i="2"/>
  <c r="I19" i="2"/>
  <c r="G20" i="2"/>
  <c r="S12" i="2"/>
  <c r="T12" i="2" s="1"/>
  <c r="A48" i="2"/>
  <c r="F21" i="2"/>
  <c r="H21" i="2" s="1"/>
  <c r="N15" i="2" l="1"/>
  <c r="N17" i="2"/>
  <c r="N16" i="2"/>
  <c r="AN16" i="2"/>
  <c r="AK18" i="2"/>
  <c r="AI18" i="2"/>
  <c r="AH19" i="2"/>
  <c r="B32" i="2"/>
  <c r="I20" i="2"/>
  <c r="G21" i="2"/>
  <c r="P13" i="2"/>
  <c r="R13" i="2" s="1"/>
  <c r="A49" i="2"/>
  <c r="F22" i="2"/>
  <c r="H22" i="2" s="1"/>
  <c r="AH20" i="2" l="1"/>
  <c r="AK20" i="2" s="1"/>
  <c r="AJ18" i="2"/>
  <c r="AL18" i="2" s="1"/>
  <c r="J18" i="2" s="1"/>
  <c r="AI19" i="2"/>
  <c r="AK19" i="2"/>
  <c r="B33" i="2"/>
  <c r="I21" i="2"/>
  <c r="G22" i="2"/>
  <c r="A50" i="2"/>
  <c r="F23" i="2"/>
  <c r="H23" i="2" s="1"/>
  <c r="AI20" i="2" l="1"/>
  <c r="AJ20" i="2" s="1"/>
  <c r="AJ19" i="2"/>
  <c r="AL19" i="2" s="1"/>
  <c r="J19" i="2" s="1"/>
  <c r="K19" i="2" s="1"/>
  <c r="M19" i="2" s="1"/>
  <c r="Q19" i="2" s="1"/>
  <c r="K18" i="2"/>
  <c r="M18" i="2" s="1"/>
  <c r="Q18" i="2" s="1"/>
  <c r="AH21" i="2"/>
  <c r="AI21" i="2" s="1"/>
  <c r="AN18" i="2"/>
  <c r="B34" i="2"/>
  <c r="I22" i="2"/>
  <c r="AL20" i="2"/>
  <c r="J20" i="2" s="1"/>
  <c r="G23" i="2"/>
  <c r="AN20" i="2"/>
  <c r="S13" i="2"/>
  <c r="A51" i="2"/>
  <c r="F24" i="2"/>
  <c r="H24" i="2" s="1"/>
  <c r="AN19" i="2" l="1"/>
  <c r="N19" i="2"/>
  <c r="N18" i="2"/>
  <c r="K20" i="2"/>
  <c r="M20" i="2" s="1"/>
  <c r="Q20" i="2" s="1"/>
  <c r="AK21" i="2"/>
  <c r="AJ21" i="2" s="1"/>
  <c r="AL21" i="2" s="1"/>
  <c r="J21" i="2" s="1"/>
  <c r="AH22" i="2"/>
  <c r="B35" i="2"/>
  <c r="I23" i="2"/>
  <c r="G24" i="2"/>
  <c r="T13" i="2"/>
  <c r="P14" i="2" s="1"/>
  <c r="R14" i="2" s="1"/>
  <c r="AN21" i="2"/>
  <c r="A52" i="2"/>
  <c r="F25" i="2"/>
  <c r="H25" i="2" s="1"/>
  <c r="N20" i="2" l="1"/>
  <c r="K21" i="2"/>
  <c r="M21" i="2" s="1"/>
  <c r="Q21" i="2" s="1"/>
  <c r="AH23" i="2"/>
  <c r="AI22" i="2"/>
  <c r="AK22" i="2"/>
  <c r="B36" i="2"/>
  <c r="I24" i="2"/>
  <c r="G25" i="2"/>
  <c r="S14" i="2"/>
  <c r="F26" i="2"/>
  <c r="H26" i="2" s="1"/>
  <c r="N21" i="2" l="1"/>
  <c r="AH24" i="2"/>
  <c r="AI24" i="2" s="1"/>
  <c r="AJ22" i="2"/>
  <c r="AL22" i="2" s="1"/>
  <c r="J22" i="2" s="1"/>
  <c r="AK23" i="2"/>
  <c r="AI23" i="2"/>
  <c r="AK24" i="2"/>
  <c r="B37" i="2"/>
  <c r="I25" i="2"/>
  <c r="G26" i="2"/>
  <c r="T14" i="2"/>
  <c r="P15" i="2" s="1"/>
  <c r="R15" i="2" s="1"/>
  <c r="F27" i="2"/>
  <c r="H27" i="2" s="1"/>
  <c r="AJ24" i="2" l="1"/>
  <c r="AL24" i="2" s="1"/>
  <c r="J24" i="2" s="1"/>
  <c r="AN22" i="2"/>
  <c r="K24" i="2"/>
  <c r="M24" i="2" s="1"/>
  <c r="Q24" i="2" s="1"/>
  <c r="K22" i="2"/>
  <c r="M22" i="2" s="1"/>
  <c r="Q22" i="2" s="1"/>
  <c r="AH25" i="2"/>
  <c r="AK25" i="2" s="1"/>
  <c r="AJ23" i="2"/>
  <c r="AN23" i="2" s="1"/>
  <c r="AN24" i="2"/>
  <c r="AI25" i="2"/>
  <c r="AJ25" i="2" s="1"/>
  <c r="B38" i="2"/>
  <c r="I26" i="2"/>
  <c r="G27" i="2"/>
  <c r="S15" i="2"/>
  <c r="F28" i="2"/>
  <c r="H28" i="2" s="1"/>
  <c r="AL23" i="2" l="1"/>
  <c r="J23" i="2" s="1"/>
  <c r="N24" i="2"/>
  <c r="N22" i="2"/>
  <c r="K23" i="2"/>
  <c r="M23" i="2" s="1"/>
  <c r="Q23" i="2" s="1"/>
  <c r="AH26" i="2"/>
  <c r="AL25" i="2"/>
  <c r="J25" i="2" s="1"/>
  <c r="AN25" i="2"/>
  <c r="B39" i="2"/>
  <c r="I27" i="2"/>
  <c r="G28" i="2"/>
  <c r="T15" i="2"/>
  <c r="P16" i="2" s="1"/>
  <c r="R16" i="2" s="1"/>
  <c r="F29" i="2"/>
  <c r="H29" i="2" s="1"/>
  <c r="N23" i="2" l="1"/>
  <c r="K25" i="2"/>
  <c r="M25" i="2" s="1"/>
  <c r="Q25" i="2" s="1"/>
  <c r="AH27" i="2"/>
  <c r="AK27" i="2" s="1"/>
  <c r="AI26" i="2"/>
  <c r="AK26" i="2"/>
  <c r="B40" i="2"/>
  <c r="I28" i="2"/>
  <c r="G29" i="2"/>
  <c r="S16" i="2"/>
  <c r="F30" i="2"/>
  <c r="H30" i="2" s="1"/>
  <c r="AJ26" i="2" l="1"/>
  <c r="AL26" i="2" s="1"/>
  <c r="J26" i="2" s="1"/>
  <c r="K26" i="2" s="1"/>
  <c r="M26" i="2" s="1"/>
  <c r="Q26" i="2" s="1"/>
  <c r="N25" i="2"/>
  <c r="AI27" i="2"/>
  <c r="AJ27" i="2" s="1"/>
  <c r="AH28" i="2"/>
  <c r="AK28" i="2" s="1"/>
  <c r="B41" i="2"/>
  <c r="I29" i="2"/>
  <c r="G30" i="2"/>
  <c r="T16" i="2"/>
  <c r="P17" i="2" s="1"/>
  <c r="R17" i="2" s="1"/>
  <c r="F31" i="2"/>
  <c r="H31" i="2" s="1"/>
  <c r="AN26" i="2" l="1"/>
  <c r="N26" i="2"/>
  <c r="AH29" i="2"/>
  <c r="AI29" i="2" s="1"/>
  <c r="AI28" i="2"/>
  <c r="AJ28" i="2" s="1"/>
  <c r="AL28" i="2" s="1"/>
  <c r="J28" i="2" s="1"/>
  <c r="AN27" i="2"/>
  <c r="AL27" i="2"/>
  <c r="J27" i="2" s="1"/>
  <c r="B42" i="2"/>
  <c r="I30" i="2"/>
  <c r="G31" i="2"/>
  <c r="AK29" i="2"/>
  <c r="S17" i="2"/>
  <c r="F32" i="2"/>
  <c r="H32" i="2" s="1"/>
  <c r="AN28" i="2" l="1"/>
  <c r="K27" i="2"/>
  <c r="M27" i="2" s="1"/>
  <c r="Q27" i="2" s="1"/>
  <c r="N27" i="2"/>
  <c r="K28" i="2"/>
  <c r="M28" i="2" s="1"/>
  <c r="Q28" i="2" s="1"/>
  <c r="AJ29" i="2"/>
  <c r="AL29" i="2" s="1"/>
  <c r="J29" i="2" s="1"/>
  <c r="AH30" i="2"/>
  <c r="B43" i="2"/>
  <c r="AN29" i="2"/>
  <c r="I31" i="2"/>
  <c r="G32" i="2"/>
  <c r="T17" i="2"/>
  <c r="P18" i="2" s="1"/>
  <c r="R18" i="2" s="1"/>
  <c r="F33" i="2"/>
  <c r="H33" i="2" s="1"/>
  <c r="N28" i="2" l="1"/>
  <c r="K29" i="2"/>
  <c r="M29" i="2" s="1"/>
  <c r="Q29" i="2" s="1"/>
  <c r="AK30" i="2"/>
  <c r="AI30" i="2"/>
  <c r="AH31" i="2"/>
  <c r="AI31" i="2" s="1"/>
  <c r="B44" i="2"/>
  <c r="I32" i="2"/>
  <c r="G33" i="2"/>
  <c r="S18" i="2"/>
  <c r="F34" i="2"/>
  <c r="H34" i="2" s="1"/>
  <c r="AK31" i="2" l="1"/>
  <c r="AJ31" i="2" s="1"/>
  <c r="AL31" i="2" s="1"/>
  <c r="J31" i="2" s="1"/>
  <c r="K31" i="2" s="1"/>
  <c r="M31" i="2" s="1"/>
  <c r="Q31" i="2" s="1"/>
  <c r="AJ30" i="2"/>
  <c r="AL30" i="2" s="1"/>
  <c r="J30" i="2" s="1"/>
  <c r="K30" i="2" s="1"/>
  <c r="M30" i="2" s="1"/>
  <c r="N29" i="2"/>
  <c r="AH32" i="2"/>
  <c r="AI32" i="2" s="1"/>
  <c r="B45" i="2"/>
  <c r="I33" i="2"/>
  <c r="G34" i="2"/>
  <c r="T18" i="2"/>
  <c r="P19" i="2" s="1"/>
  <c r="R19" i="2" s="1"/>
  <c r="F35" i="2"/>
  <c r="H35" i="2" s="1"/>
  <c r="AN31" i="2" l="1"/>
  <c r="AN30" i="2"/>
  <c r="Q30" i="2"/>
  <c r="N30" i="2"/>
  <c r="AK32" i="2"/>
  <c r="AJ32" i="2" s="1"/>
  <c r="AL32" i="2" s="1"/>
  <c r="J32" i="2" s="1"/>
  <c r="K32" i="2" s="1"/>
  <c r="M32" i="2" s="1"/>
  <c r="Q32" i="2" s="1"/>
  <c r="N31" i="2"/>
  <c r="AH33" i="2"/>
  <c r="AK33" i="2" s="1"/>
  <c r="B46" i="2"/>
  <c r="I34" i="2"/>
  <c r="G35" i="2"/>
  <c r="S19" i="2"/>
  <c r="F36" i="2"/>
  <c r="H36" i="2" s="1"/>
  <c r="AN32" i="2" l="1"/>
  <c r="N32" i="2"/>
  <c r="AI33" i="2"/>
  <c r="AJ33" i="2" s="1"/>
  <c r="AL33" i="2" s="1"/>
  <c r="J33" i="2" s="1"/>
  <c r="AH34" i="2"/>
  <c r="AK34" i="2" s="1"/>
  <c r="B47" i="2"/>
  <c r="I35" i="2"/>
  <c r="G36" i="2"/>
  <c r="T19" i="2"/>
  <c r="P20" i="2" s="1"/>
  <c r="R20" i="2" s="1"/>
  <c r="F37" i="2"/>
  <c r="H37" i="2" s="1"/>
  <c r="AI34" i="2" l="1"/>
  <c r="AJ34" i="2" s="1"/>
  <c r="AL34" i="2" s="1"/>
  <c r="J34" i="2" s="1"/>
  <c r="AN33" i="2"/>
  <c r="K33" i="2"/>
  <c r="M33" i="2" s="1"/>
  <c r="Q33" i="2" s="1"/>
  <c r="AH35" i="2"/>
  <c r="AK35" i="2" s="1"/>
  <c r="B48" i="2"/>
  <c r="I36" i="2"/>
  <c r="AI35" i="2"/>
  <c r="AJ35" i="2" s="1"/>
  <c r="AN35" i="2" s="1"/>
  <c r="G37" i="2"/>
  <c r="S20" i="2"/>
  <c r="F38" i="2"/>
  <c r="H38" i="2" s="1"/>
  <c r="N33" i="2" l="1"/>
  <c r="K34" i="2"/>
  <c r="M34" i="2" s="1"/>
  <c r="Q34" i="2" s="1"/>
  <c r="AN34" i="2"/>
  <c r="N34" i="2"/>
  <c r="AH36" i="2"/>
  <c r="AK36" i="2" s="1"/>
  <c r="B49" i="2"/>
  <c r="I37" i="2"/>
  <c r="G38" i="2"/>
  <c r="T20" i="2"/>
  <c r="P21" i="2" s="1"/>
  <c r="R21" i="2" s="1"/>
  <c r="AL35" i="2"/>
  <c r="J35" i="2" s="1"/>
  <c r="F39" i="2"/>
  <c r="H39" i="2" s="1"/>
  <c r="AI36" i="2" l="1"/>
  <c r="AJ36" i="2" s="1"/>
  <c r="AL36" i="2" s="1"/>
  <c r="J36" i="2" s="1"/>
  <c r="K35" i="2"/>
  <c r="M35" i="2" s="1"/>
  <c r="Q35" i="2" s="1"/>
  <c r="AH37" i="2"/>
  <c r="AK37" i="2" s="1"/>
  <c r="B50" i="2"/>
  <c r="I38" i="2"/>
  <c r="G39" i="2"/>
  <c r="S21" i="2"/>
  <c r="F40" i="2"/>
  <c r="H40" i="2" s="1"/>
  <c r="AI37" i="2" l="1"/>
  <c r="N35" i="2"/>
  <c r="K36" i="2"/>
  <c r="M36" i="2" s="1"/>
  <c r="Q36" i="2" s="1"/>
  <c r="AH38" i="2"/>
  <c r="AN36" i="2"/>
  <c r="B51" i="2"/>
  <c r="I39" i="2"/>
  <c r="AJ37" i="2"/>
  <c r="AN37" i="2" s="1"/>
  <c r="G40" i="2"/>
  <c r="T21" i="2"/>
  <c r="P22" i="2" s="1"/>
  <c r="R22" i="2" s="1"/>
  <c r="F41" i="2"/>
  <c r="H41" i="2" s="1"/>
  <c r="N36" i="2" l="1"/>
  <c r="AI38" i="2"/>
  <c r="AK38" i="2"/>
  <c r="AH39" i="2"/>
  <c r="B52" i="2"/>
  <c r="I40" i="2"/>
  <c r="G41" i="2"/>
  <c r="AL37" i="2"/>
  <c r="J37" i="2" s="1"/>
  <c r="S22" i="2"/>
  <c r="F42" i="2"/>
  <c r="H42" i="2" s="1"/>
  <c r="AJ38" i="2" l="1"/>
  <c r="AN38" i="2" s="1"/>
  <c r="K37" i="2"/>
  <c r="M37" i="2" s="1"/>
  <c r="Q37" i="2" s="1"/>
  <c r="AH40" i="2"/>
  <c r="AK39" i="2"/>
  <c r="AI39" i="2"/>
  <c r="AJ39" i="2" s="1"/>
  <c r="AL39" i="2" s="1"/>
  <c r="J39" i="2" s="1"/>
  <c r="I41" i="2"/>
  <c r="G42" i="2"/>
  <c r="T22" i="2"/>
  <c r="P23" i="2" s="1"/>
  <c r="R23" i="2" s="1"/>
  <c r="F43" i="2"/>
  <c r="H43" i="2" s="1"/>
  <c r="AL38" i="2" l="1"/>
  <c r="J38" i="2" s="1"/>
  <c r="AN39" i="2"/>
  <c r="N37" i="2"/>
  <c r="K39" i="2"/>
  <c r="M39" i="2" s="1"/>
  <c r="Q39" i="2" s="1"/>
  <c r="N39" i="2"/>
  <c r="AH41" i="2"/>
  <c r="AK40" i="2"/>
  <c r="AI40" i="2"/>
  <c r="AJ40" i="2" s="1"/>
  <c r="AL40" i="2" s="1"/>
  <c r="J40" i="2" s="1"/>
  <c r="I42" i="2"/>
  <c r="G43" i="2"/>
  <c r="S23" i="2"/>
  <c r="F44" i="2"/>
  <c r="H44" i="2" s="1"/>
  <c r="K38" i="2" l="1"/>
  <c r="M38" i="2" s="1"/>
  <c r="Q38" i="2" s="1"/>
  <c r="K40" i="2"/>
  <c r="M40" i="2" s="1"/>
  <c r="Q40" i="2" s="1"/>
  <c r="AH42" i="2"/>
  <c r="AN40" i="2"/>
  <c r="AK41" i="2"/>
  <c r="AI41" i="2"/>
  <c r="I43" i="2"/>
  <c r="G44" i="2"/>
  <c r="T23" i="2"/>
  <c r="P24" i="2" s="1"/>
  <c r="R24" i="2" s="1"/>
  <c r="F45" i="2"/>
  <c r="H45" i="2" s="1"/>
  <c r="N38" i="2" l="1"/>
  <c r="N40" i="2"/>
  <c r="AH43" i="2"/>
  <c r="AI43" i="2" s="1"/>
  <c r="AJ41" i="2"/>
  <c r="AL41" i="2" s="1"/>
  <c r="J41" i="2" s="1"/>
  <c r="AN41" i="2"/>
  <c r="AK42" i="2"/>
  <c r="AI42" i="2"/>
  <c r="AK43" i="2"/>
  <c r="I44" i="2"/>
  <c r="G45" i="2"/>
  <c r="S24" i="2"/>
  <c r="F46" i="2"/>
  <c r="H46" i="2" s="1"/>
  <c r="AJ43" i="2" l="1"/>
  <c r="AL43" i="2" s="1"/>
  <c r="J43" i="2" s="1"/>
  <c r="K41" i="2"/>
  <c r="M41" i="2" s="1"/>
  <c r="Q41" i="2" s="1"/>
  <c r="AJ42" i="2"/>
  <c r="AL42" i="2" s="1"/>
  <c r="J42" i="2" s="1"/>
  <c r="AH44" i="2"/>
  <c r="AI44" i="2" s="1"/>
  <c r="AN43" i="2"/>
  <c r="I45" i="2"/>
  <c r="G46" i="2"/>
  <c r="T24" i="2"/>
  <c r="P25" i="2" s="1"/>
  <c r="R25" i="2" s="1"/>
  <c r="F47" i="2"/>
  <c r="H47" i="2" s="1"/>
  <c r="K43" i="2" l="1"/>
  <c r="M43" i="2" s="1"/>
  <c r="Q43" i="2" s="1"/>
  <c r="N41" i="2"/>
  <c r="AN42" i="2"/>
  <c r="K42" i="2"/>
  <c r="M42" i="2" s="1"/>
  <c r="Q42" i="2" s="1"/>
  <c r="AK44" i="2"/>
  <c r="AJ44" i="2" s="1"/>
  <c r="AN44" i="2" s="1"/>
  <c r="AH45" i="2"/>
  <c r="I46" i="2"/>
  <c r="G47" i="2"/>
  <c r="S25" i="2"/>
  <c r="F48" i="2"/>
  <c r="H48" i="2" s="1"/>
  <c r="N43" i="2" l="1"/>
  <c r="N42" i="2"/>
  <c r="AL44" i="2"/>
  <c r="J44" i="2" s="1"/>
  <c r="AH46" i="2"/>
  <c r="AI46" i="2" s="1"/>
  <c r="AK45" i="2"/>
  <c r="AI45" i="2"/>
  <c r="I47" i="2"/>
  <c r="G48" i="2"/>
  <c r="T25" i="2"/>
  <c r="P26" i="2" s="1"/>
  <c r="R26" i="2" s="1"/>
  <c r="F49" i="2"/>
  <c r="H49" i="2" s="1"/>
  <c r="AK46" i="2" l="1"/>
  <c r="AJ46" i="2" s="1"/>
  <c r="AL46" i="2" s="1"/>
  <c r="J46" i="2" s="1"/>
  <c r="AJ45" i="2"/>
  <c r="AL45" i="2" s="1"/>
  <c r="J45" i="2" s="1"/>
  <c r="K44" i="2"/>
  <c r="M44" i="2" s="1"/>
  <c r="Q44" i="2" s="1"/>
  <c r="AH47" i="2"/>
  <c r="AK47" i="2" s="1"/>
  <c r="I48" i="2"/>
  <c r="G49" i="2"/>
  <c r="S26" i="2"/>
  <c r="F50" i="2"/>
  <c r="H50" i="2" s="1"/>
  <c r="K45" i="2" l="1"/>
  <c r="M45" i="2" s="1"/>
  <c r="Q45" i="2" s="1"/>
  <c r="K46" i="2"/>
  <c r="M46" i="2" s="1"/>
  <c r="Q46" i="2" s="1"/>
  <c r="AI47" i="2"/>
  <c r="AJ47" i="2" s="1"/>
  <c r="AL47" i="2" s="1"/>
  <c r="J47" i="2" s="1"/>
  <c r="AN46" i="2"/>
  <c r="N44" i="2"/>
  <c r="AN45" i="2"/>
  <c r="N46" i="2"/>
  <c r="N45" i="2"/>
  <c r="AH48" i="2"/>
  <c r="I49" i="2"/>
  <c r="G50" i="2"/>
  <c r="T26" i="2"/>
  <c r="P27" i="2" s="1"/>
  <c r="R27" i="2" s="1"/>
  <c r="F51" i="2"/>
  <c r="H51" i="2" s="1"/>
  <c r="AN47" i="2" l="1"/>
  <c r="K47" i="2"/>
  <c r="M47" i="2" s="1"/>
  <c r="Q47" i="2" s="1"/>
  <c r="AH49" i="2"/>
  <c r="AI49" i="2" s="1"/>
  <c r="AK48" i="2"/>
  <c r="AI48" i="2"/>
  <c r="I50" i="2"/>
  <c r="G51" i="2"/>
  <c r="S27" i="2"/>
  <c r="F52" i="2"/>
  <c r="H52" i="2" s="1"/>
  <c r="AK49" i="2" l="1"/>
  <c r="AJ49" i="2" s="1"/>
  <c r="AL49" i="2" s="1"/>
  <c r="J49" i="2" s="1"/>
  <c r="N47" i="2"/>
  <c r="AJ48" i="2"/>
  <c r="AL48" i="2" s="1"/>
  <c r="J48" i="2" s="1"/>
  <c r="AH50" i="2"/>
  <c r="AK50" i="2" s="1"/>
  <c r="AI50" i="2"/>
  <c r="AJ50" i="2" s="1"/>
  <c r="AN50" i="2" s="1"/>
  <c r="I51" i="2"/>
  <c r="G52" i="2"/>
  <c r="T27" i="2"/>
  <c r="P28" i="2" s="1"/>
  <c r="R28" i="2" s="1"/>
  <c r="K49" i="2" l="1"/>
  <c r="M49" i="2" s="1"/>
  <c r="Q49" i="2" s="1"/>
  <c r="AN49" i="2"/>
  <c r="N49" i="2"/>
  <c r="K48" i="2"/>
  <c r="M48" i="2" s="1"/>
  <c r="Q48" i="2" s="1"/>
  <c r="AH51" i="2"/>
  <c r="AN48" i="2"/>
  <c r="AL50" i="2"/>
  <c r="J50" i="2" s="1"/>
  <c r="I52" i="2"/>
  <c r="S28" i="2"/>
  <c r="N48" i="2" l="1"/>
  <c r="K50" i="2"/>
  <c r="M50" i="2" s="1"/>
  <c r="Q50" i="2" s="1"/>
  <c r="N50" i="2"/>
  <c r="AH52" i="2"/>
  <c r="AK51" i="2"/>
  <c r="AI51" i="2"/>
  <c r="AI52" i="2"/>
  <c r="AK52" i="2"/>
  <c r="T28" i="2"/>
  <c r="P29" i="2" s="1"/>
  <c r="R29" i="2" s="1"/>
  <c r="AJ51" i="2" l="1"/>
  <c r="AN51" i="2" s="1"/>
  <c r="AJ52" i="2"/>
  <c r="S29" i="2"/>
  <c r="AL51" i="2" l="1"/>
  <c r="J51" i="2" s="1"/>
  <c r="AL52" i="2"/>
  <c r="J52" i="2" s="1"/>
  <c r="AN52" i="2"/>
  <c r="T29" i="2"/>
  <c r="P30" i="2" s="1"/>
  <c r="R30" i="2" s="1"/>
  <c r="K52" i="2" l="1"/>
  <c r="M52" i="2" s="1"/>
  <c r="Q52" i="2" s="1"/>
  <c r="K51" i="2"/>
  <c r="M51" i="2" s="1"/>
  <c r="Q51" i="2" s="1"/>
  <c r="S30" i="2"/>
  <c r="N51" i="2" l="1"/>
  <c r="N52" i="2"/>
  <c r="T30" i="2"/>
  <c r="P31" i="2" s="1"/>
  <c r="R31" i="2" s="1"/>
  <c r="S31" i="2" l="1"/>
  <c r="T31" i="2" s="1"/>
  <c r="P32" i="2" s="1"/>
  <c r="R32" i="2" s="1"/>
  <c r="S32" i="2" l="1"/>
  <c r="T32" i="2" s="1"/>
  <c r="P33" i="2" s="1"/>
  <c r="R33" i="2" l="1"/>
  <c r="S33" i="2" s="1"/>
  <c r="T33" i="2" l="1"/>
  <c r="P34" i="2" s="1"/>
  <c r="R34" i="2" s="1"/>
  <c r="S34" i="2" l="1"/>
  <c r="T34" i="2" s="1"/>
  <c r="P35" i="2" l="1"/>
  <c r="R35" i="2" s="1"/>
  <c r="S35" i="2" l="1"/>
  <c r="T35" i="2" l="1"/>
  <c r="P36" i="2" s="1"/>
  <c r="R36" i="2" s="1"/>
  <c r="S36" i="2" l="1"/>
  <c r="T36" i="2" l="1"/>
  <c r="P37" i="2" s="1"/>
  <c r="R37" i="2" s="1"/>
  <c r="S37" i="2" l="1"/>
  <c r="T37" i="2" l="1"/>
  <c r="P38" i="2" s="1"/>
  <c r="R38" i="2" s="1"/>
  <c r="S38" i="2" l="1"/>
  <c r="T38" i="2" l="1"/>
  <c r="P39" i="2" s="1"/>
  <c r="R39" i="2" s="1"/>
  <c r="S39" i="2" l="1"/>
  <c r="T39" i="2" l="1"/>
  <c r="P40" i="2" s="1"/>
  <c r="R40" i="2" s="1"/>
  <c r="S40" i="2" l="1"/>
  <c r="T40" i="2" l="1"/>
  <c r="P41" i="2" s="1"/>
  <c r="R41" i="2" s="1"/>
  <c r="S41" i="2" l="1"/>
  <c r="T41" i="2" l="1"/>
  <c r="P42" i="2" s="1"/>
  <c r="R42" i="2" s="1"/>
  <c r="S42" i="2" l="1"/>
  <c r="T42" i="2" l="1"/>
  <c r="P43" i="2" s="1"/>
  <c r="R43" i="2" s="1"/>
  <c r="S43" i="2" l="1"/>
  <c r="T43" i="2" l="1"/>
  <c r="P44" i="2" s="1"/>
  <c r="R44" i="2" s="1"/>
  <c r="S44" i="2" l="1"/>
  <c r="T44" i="2" l="1"/>
  <c r="P45" i="2" s="1"/>
  <c r="R45" i="2" s="1"/>
  <c r="S45" i="2" l="1"/>
  <c r="T45" i="2" l="1"/>
  <c r="P46" i="2" s="1"/>
  <c r="R46" i="2" s="1"/>
  <c r="S46" i="2" l="1"/>
  <c r="T46" i="2" l="1"/>
  <c r="P47" i="2" s="1"/>
  <c r="R47" i="2" s="1"/>
  <c r="S47" i="2" l="1"/>
  <c r="T47" i="2" l="1"/>
  <c r="P48" i="2" s="1"/>
  <c r="R48" i="2" s="1"/>
  <c r="S48" i="2" l="1"/>
  <c r="T48" i="2" l="1"/>
  <c r="P49" i="2" s="1"/>
  <c r="R49" i="2" s="1"/>
  <c r="S49" i="2" l="1"/>
  <c r="T49" i="2" l="1"/>
  <c r="P50" i="2" s="1"/>
  <c r="R50" i="2" s="1"/>
  <c r="S50" i="2" l="1"/>
  <c r="T50" i="2" s="1"/>
  <c r="P51" i="2" s="1"/>
  <c r="R51" i="2" s="1"/>
  <c r="S51" i="2" l="1"/>
  <c r="T51" i="2" s="1"/>
  <c r="P52" i="2" l="1"/>
  <c r="R52" i="2" s="1"/>
  <c r="S52" i="2" l="1"/>
  <c r="T52" i="2" s="1"/>
</calcChain>
</file>

<file path=xl/sharedStrings.xml><?xml version="1.0" encoding="utf-8"?>
<sst xmlns="http://schemas.openxmlformats.org/spreadsheetml/2006/main" count="62" uniqueCount="57">
  <si>
    <t>Leeftijd</t>
  </si>
  <si>
    <t>Uitgaven op jaarbasis</t>
  </si>
  <si>
    <t>Hierbij gaat het om de totale uitgaven inclusief hypotheek</t>
  </si>
  <si>
    <t>Verwachte inflatie</t>
  </si>
  <si>
    <t>Dit is het rendement na box 3 of VPB heffing</t>
  </si>
  <si>
    <t>Jaar</t>
  </si>
  <si>
    <t>Belasting</t>
  </si>
  <si>
    <t>Netto inkomen</t>
  </si>
  <si>
    <t>Inkomen</t>
  </si>
  <si>
    <t>Schijf 1</t>
  </si>
  <si>
    <t>Schijf 2</t>
  </si>
  <si>
    <t>Schijf 3</t>
  </si>
  <si>
    <t>Check</t>
  </si>
  <si>
    <t>Uitgaven</t>
  </si>
  <si>
    <t>Tekort/overschot</t>
  </si>
  <si>
    <t>Privéwaarde belegd vermogen in de BV</t>
  </si>
  <si>
    <t>Verwacht netto rendement op vermogen na belasting</t>
  </si>
  <si>
    <t>Vermogen begin jaar</t>
  </si>
  <si>
    <t>Onttrekking of storting</t>
  </si>
  <si>
    <t>Meer weten of meteen besparingen in gang zetten? Neem contact met me op!</t>
  </si>
  <si>
    <t>Email: david@personalwealth.nl</t>
  </si>
  <si>
    <t>Telefoon: 06 - 80227361</t>
  </si>
  <si>
    <t>Aan dit document kan op geen enkele manier rechten worden ontleend</t>
  </si>
  <si>
    <t>Deze rekentool geeft een sterk vereenvoudigde weergave van de werkelijkheid, zonder met alle aspecten rekening te houden</t>
  </si>
  <si>
    <t>Voor professioneel advies is het verstandig een expert te raadplegen</t>
  </si>
  <si>
    <t>Vul de gele cellen in</t>
  </si>
  <si>
    <t>Verwachte inkomsten AOW + pensioen</t>
  </si>
  <si>
    <t>Box 2 belasting over het vermogen in de BV</t>
  </si>
  <si>
    <t>In 2026 betaal je 24,5% box 2 heffing tot een bedrag van € 68.843 per fiscaal partner</t>
  </si>
  <si>
    <t>Dit is de waarde van het belegbaar vermogen in de BV nadat box 2 belasting is betaald</t>
  </si>
  <si>
    <t>Belegbaar vermogen in de BV</t>
  </si>
  <si>
    <t>Belegbaar vermogen in privé</t>
  </si>
  <si>
    <t>Dit is de optelsom van het belegbaar vermogen privé en de privéwaarde van het belegd vermogen in de BV</t>
  </si>
  <si>
    <t>Verwachte AOW leeftijd</t>
  </si>
  <si>
    <t>Bij een bancaire lijfrente kan de uitkering hier berekend worden:</t>
  </si>
  <si>
    <t>Link</t>
  </si>
  <si>
    <t xml:space="preserve">Bij een verzekerde lijfrente kan de uitkering hier berekend worden: </t>
  </si>
  <si>
    <t>Verwachte lijfrente inkomsten per jaar na pensionering</t>
  </si>
  <si>
    <t>Zie toelichting bij regel 31 en 32</t>
  </si>
  <si>
    <t>AOW + penisoen</t>
  </si>
  <si>
    <t>Lijfrente inkomsten</t>
  </si>
  <si>
    <t>Totaal inkomsten</t>
  </si>
  <si>
    <t>AOW + Pensioen</t>
  </si>
  <si>
    <t>Lijfrente</t>
  </si>
  <si>
    <t>Indexatie AOW/pensioen/lijfrente</t>
  </si>
  <si>
    <t>Inkomsten belasting</t>
  </si>
  <si>
    <t>Er wordt geen rekening gehouden met heffingskortingen</t>
  </si>
  <si>
    <t>De schijven van de inkomstenbelasting worden geïndexeerd met de inflatie</t>
  </si>
  <si>
    <t>Toekomstplan</t>
  </si>
  <si>
    <t>Totale privéwaarde belegbaar vermogen</t>
  </si>
  <si>
    <t>Netto rendement</t>
  </si>
  <si>
    <t>Vermogen einde jaar</t>
  </si>
  <si>
    <t>Vermogen na onttrekking</t>
  </si>
  <si>
    <t xml:space="preserve">Dit kan je inschatten op basis van mijnpensioenoverzicht, hierbij de url: </t>
  </si>
  <si>
    <t>Je kunt hier je AOW leeftijd berekenen (afronden op jaren):</t>
  </si>
  <si>
    <t>Op basis van het langjarige gemiddelde</t>
  </si>
  <si>
    <t>Over het algemeen blijven pensioenverhogingen achter bij de inflatie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</si>
</sst>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164" formatCode="_ &quot;€&quot;\ * #,##0_ ;_ &quot;€&quot;\ * \-#,##0_ ;_ &quot;€&quot;\ * &quot;-&quot;??_ ;_ @_ "/>
  </numFmts>
  <fonts count="5" x14ac:knownFonts="1">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u/>
      <sz val="11"/>
      <color theme="10"/>
      <name val="Aptos Narrow"/>
      <family val="2"/>
      <scheme val="minor"/>
    </font>
  </fonts>
  <fills count="8">
    <fill>
      <patternFill patternType="none"/>
    </fill>
    <fill>
      <patternFill patternType="gray125"/>
    </fill>
    <fill>
      <patternFill patternType="solid">
        <fgColor rgb="FF3E6C7B"/>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F08910"/>
        <bgColor indexed="64"/>
      </patternFill>
    </fill>
    <fill>
      <patternFill patternType="solid">
        <fgColor theme="3" tint="0.89999084444715716"/>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4" fillId="0" borderId="0" applyNumberFormat="0" applyFill="0" applyBorder="0" applyAlignment="0" applyProtection="0"/>
  </cellStyleXfs>
  <cellXfs count="49">
    <xf numFmtId="0" fontId="0" fillId="0" borderId="0" xfId="0"/>
    <xf numFmtId="164" fontId="0" fillId="0" borderId="0" xfId="1" applyNumberFormat="1" applyFont="1"/>
    <xf numFmtId="10" fontId="0" fillId="0" borderId="0" xfId="0" applyNumberFormat="1"/>
    <xf numFmtId="164" fontId="0" fillId="0" borderId="0" xfId="0" applyNumberFormat="1"/>
    <xf numFmtId="44" fontId="0" fillId="0" borderId="0" xfId="0" applyNumberFormat="1"/>
    <xf numFmtId="0" fontId="2" fillId="2" borderId="0" xfId="0" applyFont="1" applyFill="1" applyAlignment="1">
      <alignment horizontal="left" vertical="top" wrapText="1"/>
    </xf>
    <xf numFmtId="0" fontId="2" fillId="2" borderId="0" xfId="0" applyFont="1" applyFill="1" applyAlignment="1">
      <alignment vertical="top" wrapText="1"/>
    </xf>
    <xf numFmtId="0" fontId="0" fillId="0" borderId="0" xfId="0" applyFill="1"/>
    <xf numFmtId="0" fontId="2" fillId="0" borderId="0" xfId="0" applyFont="1" applyFill="1" applyAlignment="1">
      <alignment horizontal="left" vertical="top"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164" fontId="0" fillId="0" borderId="9" xfId="1" applyNumberFormat="1" applyFont="1" applyBorder="1"/>
    <xf numFmtId="164" fontId="0" fillId="0" borderId="9" xfId="0" applyNumberFormat="1" applyBorder="1"/>
    <xf numFmtId="0" fontId="0" fillId="0" borderId="0" xfId="0" applyFill="1" applyBorder="1"/>
    <xf numFmtId="0" fontId="3" fillId="0" borderId="0" xfId="0" applyFont="1" applyFill="1" applyBorder="1"/>
    <xf numFmtId="164" fontId="0" fillId="0" borderId="0" xfId="1" applyNumberFormat="1" applyFont="1" applyFill="1" applyBorder="1"/>
    <xf numFmtId="164" fontId="0" fillId="4" borderId="9" xfId="1" applyNumberFormat="1" applyFont="1" applyFill="1" applyBorder="1"/>
    <xf numFmtId="164" fontId="0" fillId="4" borderId="9" xfId="0" applyNumberFormat="1" applyFill="1" applyBorder="1"/>
    <xf numFmtId="0" fontId="2" fillId="2" borderId="9" xfId="0" applyFont="1" applyFill="1" applyBorder="1"/>
    <xf numFmtId="0" fontId="2" fillId="6" borderId="9" xfId="0" applyFont="1" applyFill="1" applyBorder="1"/>
    <xf numFmtId="0" fontId="2" fillId="2" borderId="0" xfId="0" applyFont="1" applyFill="1" applyBorder="1"/>
    <xf numFmtId="0" fontId="2" fillId="2" borderId="10" xfId="0" applyFont="1" applyFill="1" applyBorder="1"/>
    <xf numFmtId="0" fontId="2" fillId="2" borderId="11" xfId="0" applyFont="1" applyFill="1" applyBorder="1"/>
    <xf numFmtId="0" fontId="2" fillId="6" borderId="10" xfId="0" applyFont="1" applyFill="1" applyBorder="1"/>
    <xf numFmtId="0" fontId="2" fillId="5" borderId="0" xfId="0" applyFont="1" applyFill="1" applyBorder="1"/>
    <xf numFmtId="0" fontId="0" fillId="5" borderId="0" xfId="0" applyFill="1"/>
    <xf numFmtId="164" fontId="0" fillId="7" borderId="9" xfId="1" applyNumberFormat="1" applyFont="1" applyFill="1" applyBorder="1"/>
    <xf numFmtId="164" fontId="0" fillId="7" borderId="9" xfId="0" applyNumberFormat="1" applyFill="1" applyBorder="1"/>
    <xf numFmtId="0" fontId="0" fillId="0" borderId="0" xfId="0" applyAlignment="1">
      <alignment vertical="center" wrapText="1"/>
    </xf>
    <xf numFmtId="0" fontId="2" fillId="2" borderId="9" xfId="0" applyFont="1" applyFill="1" applyBorder="1" applyAlignment="1">
      <alignment vertical="center" wrapText="1"/>
    </xf>
    <xf numFmtId="0" fontId="2" fillId="2" borderId="10" xfId="0" applyFont="1" applyFill="1" applyBorder="1" applyAlignment="1">
      <alignment vertical="center" wrapText="1"/>
    </xf>
    <xf numFmtId="0" fontId="2" fillId="5" borderId="0" xfId="0" applyFont="1" applyFill="1" applyBorder="1" applyAlignment="1">
      <alignment vertical="center" wrapText="1"/>
    </xf>
    <xf numFmtId="0" fontId="2" fillId="2" borderId="12" xfId="0" applyFont="1" applyFill="1" applyBorder="1" applyAlignment="1">
      <alignment vertical="center" wrapText="1"/>
    </xf>
    <xf numFmtId="0" fontId="2" fillId="0" borderId="0" xfId="0" applyFont="1" applyFill="1" applyBorder="1"/>
    <xf numFmtId="0" fontId="2" fillId="2" borderId="0" xfId="0" applyFont="1" applyFill="1" applyBorder="1" applyAlignment="1">
      <alignment vertical="center" wrapText="1"/>
    </xf>
    <xf numFmtId="164" fontId="0" fillId="7" borderId="0" xfId="0" applyNumberFormat="1" applyFill="1" applyBorder="1"/>
    <xf numFmtId="164" fontId="0" fillId="5" borderId="0" xfId="0" applyNumberFormat="1" applyFill="1"/>
    <xf numFmtId="44" fontId="0" fillId="5" borderId="0" xfId="0" applyNumberFormat="1" applyFill="1"/>
    <xf numFmtId="0" fontId="4" fillId="0" borderId="0" xfId="2"/>
    <xf numFmtId="0" fontId="0" fillId="3" borderId="9" xfId="0" applyFill="1" applyBorder="1" applyProtection="1">
      <protection locked="0"/>
    </xf>
    <xf numFmtId="164" fontId="0" fillId="3" borderId="9" xfId="1" applyNumberFormat="1" applyFont="1" applyFill="1" applyBorder="1" applyProtection="1">
      <protection locked="0"/>
    </xf>
    <xf numFmtId="10" fontId="0" fillId="3" borderId="9" xfId="0" applyNumberFormat="1" applyFill="1" applyBorder="1" applyProtection="1">
      <protection locked="0"/>
    </xf>
  </cellXfs>
  <cellStyles count="3">
    <cellStyle name="Hyperlink" xfId="2" builtinId="8"/>
    <cellStyle name="Standaard" xfId="0" builtinId="0"/>
    <cellStyle name="Valuta"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Inkomsten en uitgaven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clustered"/>
        <c:varyColors val="0"/>
        <c:ser>
          <c:idx val="3"/>
          <c:order val="3"/>
          <c:tx>
            <c:strRef>
              <c:f>Berekening!$K$1</c:f>
              <c:strCache>
                <c:ptCount val="1"/>
                <c:pt idx="0">
                  <c:v>Netto inkomen</c:v>
                </c:pt>
              </c:strCache>
            </c:strRef>
          </c:tx>
          <c:spPr>
            <a:solidFill>
              <a:schemeClr val="accent4"/>
            </a:solidFill>
            <a:ln>
              <a:noFill/>
            </a:ln>
            <a:effectLst/>
          </c:spPr>
          <c:invertIfNegative val="0"/>
          <c:cat>
            <c:strRef>
              <c:f>Berekening!$F$1:$F$52</c:f>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f>Berekening!$K$2:$K$52</c:f>
              <c:numCache>
                <c:formatCode>_ "€"\ * #,##0_ ;_ "€"\ * \-#,##0_ ;_ "€"\ * "-"??_ ;_ @_ </c:formatCode>
                <c:ptCount val="5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39722.62229058332</c:v>
                </c:pt>
                <c:pt idx="20">
                  <c:v>40119.84851348916</c:v>
                </c:pt>
                <c:pt idx="21">
                  <c:v>40521.04699862405</c:v>
                </c:pt>
                <c:pt idx="22">
                  <c:v>40926.257468610289</c:v>
                </c:pt>
                <c:pt idx="23">
                  <c:v>41335.52004329639</c:v>
                </c:pt>
                <c:pt idx="24">
                  <c:v>41748.875243729359</c:v>
                </c:pt>
                <c:pt idx="25">
                  <c:v>42166.363996166649</c:v>
                </c:pt>
                <c:pt idx="26">
                  <c:v>42588.02763612831</c:v>
                </c:pt>
                <c:pt idx="27">
                  <c:v>43013.907912489594</c:v>
                </c:pt>
                <c:pt idx="28">
                  <c:v>43444.046991614494</c:v>
                </c:pt>
                <c:pt idx="29">
                  <c:v>43878.48746153064</c:v>
                </c:pt>
                <c:pt idx="30">
                  <c:v>44317.272336145943</c:v>
                </c:pt>
                <c:pt idx="31">
                  <c:v>44760.445059507409</c:v>
                </c:pt>
                <c:pt idx="32">
                  <c:v>45208.049510102486</c:v>
                </c:pt>
                <c:pt idx="33">
                  <c:v>45660.130005203508</c:v>
                </c:pt>
                <c:pt idx="34">
                  <c:v>46116.731305255547</c:v>
                </c:pt>
                <c:pt idx="35">
                  <c:v>46577.8986183081</c:v>
                </c:pt>
                <c:pt idx="36">
                  <c:v>47043.677604491182</c:v>
                </c:pt>
                <c:pt idx="37">
                  <c:v>47514.114380536092</c:v>
                </c:pt>
                <c:pt idx="38">
                  <c:v>47989.255524341454</c:v>
                </c:pt>
                <c:pt idx="39">
                  <c:v>48469.148079584877</c:v>
                </c:pt>
                <c:pt idx="40">
                  <c:v>48953.839560380715</c:v>
                </c:pt>
                <c:pt idx="41">
                  <c:v>49443.377955984528</c:v>
                </c:pt>
                <c:pt idx="42">
                  <c:v>49937.811735544368</c:v>
                </c:pt>
                <c:pt idx="43">
                  <c:v>50437.189852899814</c:v>
                </c:pt>
                <c:pt idx="44">
                  <c:v>50941.56175142881</c:v>
                </c:pt>
                <c:pt idx="45">
                  <c:v>51450.977368943102</c:v>
                </c:pt>
                <c:pt idx="46">
                  <c:v>51965.487142632526</c:v>
                </c:pt>
                <c:pt idx="47">
                  <c:v>52485.142014058853</c:v>
                </c:pt>
                <c:pt idx="48">
                  <c:v>53009.993434199445</c:v>
                </c:pt>
                <c:pt idx="49">
                  <c:v>53540.093368541442</c:v>
                </c:pt>
                <c:pt idx="50">
                  <c:v>54075.494302226871</c:v>
                </c:pt>
              </c:numCache>
            </c:numRef>
          </c:val>
          <c:extLst>
            <c:ext xmlns:c16="http://schemas.microsoft.com/office/drawing/2014/chart" uri="{C3380CC4-5D6E-409C-BE32-E72D297353CC}">
              <c16:uniqueId val="{00000003-78FC-4556-A62A-FE855FD381B2}"/>
            </c:ext>
          </c:extLst>
        </c:ser>
        <c:ser>
          <c:idx val="4"/>
          <c:order val="4"/>
          <c:tx>
            <c:strRef>
              <c:f>Berekening!$L$1</c:f>
              <c:strCache>
                <c:ptCount val="1"/>
                <c:pt idx="0">
                  <c:v>Uitgaven</c:v>
                </c:pt>
              </c:strCache>
            </c:strRef>
          </c:tx>
          <c:spPr>
            <a:solidFill>
              <a:schemeClr val="accent5"/>
            </a:solidFill>
            <a:ln>
              <a:noFill/>
            </a:ln>
            <a:effectLst/>
          </c:spPr>
          <c:invertIfNegative val="0"/>
          <c:cat>
            <c:strRef>
              <c:f>Berekening!$F$1:$F$52</c:f>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f>Berekening!$L$2:$L$52</c:f>
              <c:numCache>
                <c:formatCode>_ "€"\ * #,##0_ ;_ "€"\ * \-#,##0_ ;_ "€"\ * "-"??_ ;_ @_ </c:formatCode>
                <c:ptCount val="51"/>
                <c:pt idx="0">
                  <c:v>60000</c:v>
                </c:pt>
                <c:pt idx="1">
                  <c:v>61259.999999999993</c:v>
                </c:pt>
                <c:pt idx="2">
                  <c:v>62546.459999999985</c:v>
                </c:pt>
                <c:pt idx="3">
                  <c:v>63859.935659999981</c:v>
                </c:pt>
                <c:pt idx="4">
                  <c:v>65200.994308859976</c:v>
                </c:pt>
                <c:pt idx="5">
                  <c:v>66570.215189346025</c:v>
                </c:pt>
                <c:pt idx="6">
                  <c:v>67968.189708322287</c:v>
                </c:pt>
                <c:pt idx="7">
                  <c:v>69395.521692197042</c:v>
                </c:pt>
                <c:pt idx="8">
                  <c:v>70852.827647733167</c:v>
                </c:pt>
                <c:pt idx="9">
                  <c:v>72340.737028335556</c:v>
                </c:pt>
                <c:pt idx="10">
                  <c:v>73859.892505930591</c:v>
                </c:pt>
                <c:pt idx="11">
                  <c:v>75410.95024855512</c:v>
                </c:pt>
                <c:pt idx="12">
                  <c:v>76994.580203774764</c:v>
                </c:pt>
                <c:pt idx="13">
                  <c:v>78611.466388054032</c:v>
                </c:pt>
                <c:pt idx="14">
                  <c:v>80262.307182203163</c:v>
                </c:pt>
                <c:pt idx="15">
                  <c:v>81947.81563302943</c:v>
                </c:pt>
                <c:pt idx="16">
                  <c:v>83668.719761323038</c:v>
                </c:pt>
                <c:pt idx="17">
                  <c:v>85425.762876310808</c:v>
                </c:pt>
                <c:pt idx="18">
                  <c:v>87219.703896713327</c:v>
                </c:pt>
                <c:pt idx="19">
                  <c:v>89051.317678544292</c:v>
                </c:pt>
                <c:pt idx="20">
                  <c:v>90921.395349793718</c:v>
                </c:pt>
                <c:pt idx="21">
                  <c:v>92830.744652139372</c:v>
                </c:pt>
                <c:pt idx="22">
                  <c:v>94780.190289834296</c:v>
                </c:pt>
                <c:pt idx="23">
                  <c:v>96770.574285920811</c:v>
                </c:pt>
                <c:pt idx="24">
                  <c:v>98802.75634592514</c:v>
                </c:pt>
                <c:pt idx="25">
                  <c:v>100877.61422918955</c:v>
                </c:pt>
                <c:pt idx="26">
                  <c:v>102996.04412800253</c:v>
                </c:pt>
                <c:pt idx="27">
                  <c:v>105158.96105469058</c:v>
                </c:pt>
                <c:pt idx="28">
                  <c:v>107367.29923683907</c:v>
                </c:pt>
                <c:pt idx="29">
                  <c:v>109622.01252081268</c:v>
                </c:pt>
                <c:pt idx="30">
                  <c:v>111924.07478374975</c:v>
                </c:pt>
                <c:pt idx="31">
                  <c:v>114274.48035420848</c:v>
                </c:pt>
                <c:pt idx="32">
                  <c:v>116674.24444164685</c:v>
                </c:pt>
                <c:pt idx="33">
                  <c:v>119124.40357492142</c:v>
                </c:pt>
                <c:pt idx="34">
                  <c:v>121626.01604999477</c:v>
                </c:pt>
                <c:pt idx="35">
                  <c:v>124180.16238704465</c:v>
                </c:pt>
                <c:pt idx="36">
                  <c:v>126787.94579717258</c:v>
                </c:pt>
                <c:pt idx="37">
                  <c:v>129450.49265891319</c:v>
                </c:pt>
                <c:pt idx="38">
                  <c:v>132168.95300475036</c:v>
                </c:pt>
                <c:pt idx="39">
                  <c:v>134944.5010178501</c:v>
                </c:pt>
                <c:pt idx="40">
                  <c:v>137778.33553922494</c:v>
                </c:pt>
                <c:pt idx="41">
                  <c:v>140671.68058554866</c:v>
                </c:pt>
                <c:pt idx="42">
                  <c:v>143625.78587784516</c:v>
                </c:pt>
                <c:pt idx="43">
                  <c:v>146641.92738127991</c:v>
                </c:pt>
                <c:pt idx="44">
                  <c:v>149721.40785628677</c:v>
                </c:pt>
                <c:pt idx="45">
                  <c:v>152865.55742126878</c:v>
                </c:pt>
                <c:pt idx="46">
                  <c:v>156075.7341271154</c:v>
                </c:pt>
                <c:pt idx="47">
                  <c:v>159353.32454378481</c:v>
                </c:pt>
                <c:pt idx="48">
                  <c:v>162699.74435920428</c:v>
                </c:pt>
                <c:pt idx="49">
                  <c:v>166116.43899074756</c:v>
                </c:pt>
                <c:pt idx="50">
                  <c:v>169604.88420955325</c:v>
                </c:pt>
              </c:numCache>
            </c:numRef>
          </c:val>
          <c:extLst>
            <c:ext xmlns:c16="http://schemas.microsoft.com/office/drawing/2014/chart" uri="{C3380CC4-5D6E-409C-BE32-E72D297353CC}">
              <c16:uniqueId val="{00000004-78FC-4556-A62A-FE855FD381B2}"/>
            </c:ext>
          </c:extLst>
        </c:ser>
        <c:dLbls>
          <c:showLegendKey val="0"/>
          <c:showVal val="0"/>
          <c:showCatName val="0"/>
          <c:showSerName val="0"/>
          <c:showPercent val="0"/>
          <c:showBubbleSize val="0"/>
        </c:dLbls>
        <c:gapWidth val="219"/>
        <c:overlap val="-27"/>
        <c:axId val="1779924127"/>
        <c:axId val="995401999"/>
        <c:extLst>
          <c:ext xmlns:c15="http://schemas.microsoft.com/office/drawing/2012/chart" uri="{02D57815-91ED-43cb-92C2-25804820EDAC}">
            <c15:filteredBarSeries>
              <c15:ser>
                <c:idx val="0"/>
                <c:order val="0"/>
                <c:tx>
                  <c:strRef>
                    <c:extLst>
                      <c:ext uri="{02D57815-91ED-43cb-92C2-25804820EDAC}">
                        <c15:formulaRef>
                          <c15:sqref>Berekening!$F$1</c15:sqref>
                        </c15:formulaRef>
                      </c:ext>
                    </c:extLst>
                    <c:strCache>
                      <c:ptCount val="1"/>
                      <c:pt idx="0">
                        <c:v>Leeftijd</c:v>
                      </c:pt>
                    </c:strCache>
                  </c:strRef>
                </c:tx>
                <c:spPr>
                  <a:solidFill>
                    <a:schemeClr val="accent1"/>
                  </a:solidFill>
                  <a:ln>
                    <a:noFill/>
                  </a:ln>
                  <a:effectLst/>
                </c:spPr>
                <c:invertIfNegative val="0"/>
                <c:cat>
                  <c:strRef>
                    <c:extLst>
                      <c:ext uri="{02D57815-91ED-43cb-92C2-25804820EDAC}">
                        <c15:formulaRef>
                          <c15:sqref>Berekening!$F$1:$F$52</c15:sqref>
                        </c15:formulaRef>
                      </c:ext>
                    </c:extLst>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extLst>
                      <c:ext uri="{02D57815-91ED-43cb-92C2-25804820EDAC}">
                        <c15:formulaRef>
                          <c15:sqref>Berekening!$F$2:$F$52</c15:sqref>
                        </c15:formulaRef>
                      </c:ext>
                    </c:extLst>
                    <c:numCache>
                      <c:formatCode>General</c:formatCode>
                      <c:ptCount val="51"/>
                      <c:pt idx="0">
                        <c:v>50</c:v>
                      </c:pt>
                      <c:pt idx="1">
                        <c:v>51</c:v>
                      </c:pt>
                      <c:pt idx="2">
                        <c:v>52</c:v>
                      </c:pt>
                      <c:pt idx="3">
                        <c:v>53</c:v>
                      </c:pt>
                      <c:pt idx="4">
                        <c:v>54</c:v>
                      </c:pt>
                      <c:pt idx="5">
                        <c:v>55</c:v>
                      </c:pt>
                      <c:pt idx="6">
                        <c:v>56</c:v>
                      </c:pt>
                      <c:pt idx="7">
                        <c:v>57</c:v>
                      </c:pt>
                      <c:pt idx="8">
                        <c:v>58</c:v>
                      </c:pt>
                      <c:pt idx="9">
                        <c:v>59</c:v>
                      </c:pt>
                      <c:pt idx="10">
                        <c:v>60</c:v>
                      </c:pt>
                      <c:pt idx="11">
                        <c:v>61</c:v>
                      </c:pt>
                      <c:pt idx="12">
                        <c:v>62</c:v>
                      </c:pt>
                      <c:pt idx="13">
                        <c:v>63</c:v>
                      </c:pt>
                      <c:pt idx="14">
                        <c:v>64</c:v>
                      </c:pt>
                      <c:pt idx="15">
                        <c:v>65</c:v>
                      </c:pt>
                      <c:pt idx="16">
                        <c:v>66</c:v>
                      </c:pt>
                      <c:pt idx="17">
                        <c:v>67</c:v>
                      </c:pt>
                      <c:pt idx="18">
                        <c:v>68</c:v>
                      </c:pt>
                      <c:pt idx="19">
                        <c:v>69</c:v>
                      </c:pt>
                      <c:pt idx="20">
                        <c:v>70</c:v>
                      </c:pt>
                      <c:pt idx="21">
                        <c:v>71</c:v>
                      </c:pt>
                      <c:pt idx="22">
                        <c:v>72</c:v>
                      </c:pt>
                      <c:pt idx="23">
                        <c:v>73</c:v>
                      </c:pt>
                      <c:pt idx="24">
                        <c:v>74</c:v>
                      </c:pt>
                      <c:pt idx="25">
                        <c:v>75</c:v>
                      </c:pt>
                      <c:pt idx="26">
                        <c:v>76</c:v>
                      </c:pt>
                      <c:pt idx="27">
                        <c:v>77</c:v>
                      </c:pt>
                      <c:pt idx="28">
                        <c:v>78</c:v>
                      </c:pt>
                      <c:pt idx="29">
                        <c:v>79</c:v>
                      </c:pt>
                      <c:pt idx="30">
                        <c:v>80</c:v>
                      </c:pt>
                      <c:pt idx="31">
                        <c:v>81</c:v>
                      </c:pt>
                      <c:pt idx="32">
                        <c:v>82</c:v>
                      </c:pt>
                      <c:pt idx="33">
                        <c:v>83</c:v>
                      </c:pt>
                      <c:pt idx="34">
                        <c:v>84</c:v>
                      </c:pt>
                      <c:pt idx="35">
                        <c:v>85</c:v>
                      </c:pt>
                      <c:pt idx="36">
                        <c:v>86</c:v>
                      </c:pt>
                      <c:pt idx="37">
                        <c:v>87</c:v>
                      </c:pt>
                      <c:pt idx="38">
                        <c:v>88</c:v>
                      </c:pt>
                      <c:pt idx="39">
                        <c:v>89</c:v>
                      </c:pt>
                      <c:pt idx="40">
                        <c:v>90</c:v>
                      </c:pt>
                      <c:pt idx="41">
                        <c:v>91</c:v>
                      </c:pt>
                      <c:pt idx="42">
                        <c:v>92</c:v>
                      </c:pt>
                      <c:pt idx="43">
                        <c:v>93</c:v>
                      </c:pt>
                      <c:pt idx="44">
                        <c:v>94</c:v>
                      </c:pt>
                      <c:pt idx="45">
                        <c:v>95</c:v>
                      </c:pt>
                      <c:pt idx="46">
                        <c:v>96</c:v>
                      </c:pt>
                      <c:pt idx="47">
                        <c:v>97</c:v>
                      </c:pt>
                      <c:pt idx="48">
                        <c:v>98</c:v>
                      </c:pt>
                      <c:pt idx="49">
                        <c:v>99</c:v>
                      </c:pt>
                      <c:pt idx="50">
                        <c:v>100</c:v>
                      </c:pt>
                    </c:numCache>
                  </c:numRef>
                </c:val>
                <c:extLst>
                  <c:ext xmlns:c16="http://schemas.microsoft.com/office/drawing/2014/chart" uri="{C3380CC4-5D6E-409C-BE32-E72D297353CC}">
                    <c16:uniqueId val="{00000000-78FC-4556-A62A-FE855FD381B2}"/>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Berekening!$G$1</c15:sqref>
                        </c15:formulaRef>
                      </c:ext>
                    </c:extLst>
                    <c:strCache>
                      <c:ptCount val="1"/>
                      <c:pt idx="0">
                        <c:v>AOW + penisoen</c:v>
                      </c:pt>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Berekening!$F$1:$F$52</c15:sqref>
                        </c15:formulaRef>
                      </c:ext>
                    </c:extLst>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extLst xmlns:c15="http://schemas.microsoft.com/office/drawing/2012/chart">
                      <c:ext xmlns:c15="http://schemas.microsoft.com/office/drawing/2012/chart" uri="{02D57815-91ED-43cb-92C2-25804820EDAC}">
                        <c15:formulaRef>
                          <c15:sqref>Berekening!$G$2:$G$52</c15:sqref>
                        </c15:formulaRef>
                      </c:ext>
                    </c:extLst>
                    <c:numCache>
                      <c:formatCode>_ "€"\ * #,##0_ ;_ "€"\ * \-#,##0_ ;_ "€"\ * "-"??_ ;_ @_ </c:formatCode>
                      <c:ptCount val="5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36243.268513305949</c:v>
                      </c:pt>
                      <c:pt idx="20">
                        <c:v>36605.701198439012</c:v>
                      </c:pt>
                      <c:pt idx="21">
                        <c:v>36971.758210423402</c:v>
                      </c:pt>
                      <c:pt idx="22">
                        <c:v>37341.475792527635</c:v>
                      </c:pt>
                      <c:pt idx="23">
                        <c:v>37714.89055045291</c:v>
                      </c:pt>
                      <c:pt idx="24">
                        <c:v>38092.039455957442</c:v>
                      </c:pt>
                      <c:pt idx="25">
                        <c:v>38472.959850517014</c:v>
                      </c:pt>
                      <c:pt idx="26">
                        <c:v>38857.689449022182</c:v>
                      </c:pt>
                      <c:pt idx="27">
                        <c:v>39246.266343512405</c:v>
                      </c:pt>
                      <c:pt idx="28">
                        <c:v>39638.729006947528</c:v>
                      </c:pt>
                      <c:pt idx="29">
                        <c:v>40035.116297017004</c:v>
                      </c:pt>
                      <c:pt idx="30">
                        <c:v>40435.467459987172</c:v>
                      </c:pt>
                      <c:pt idx="31">
                        <c:v>40839.822134587048</c:v>
                      </c:pt>
                      <c:pt idx="32">
                        <c:v>41248.220355932921</c:v>
                      </c:pt>
                      <c:pt idx="33">
                        <c:v>41660.702559492252</c:v>
                      </c:pt>
                      <c:pt idx="34">
                        <c:v>42077.309585087176</c:v>
                      </c:pt>
                      <c:pt idx="35">
                        <c:v>42498.082680938045</c:v>
                      </c:pt>
                      <c:pt idx="36">
                        <c:v>42923.063507747429</c:v>
                      </c:pt>
                      <c:pt idx="37">
                        <c:v>43352.294142824903</c:v>
                      </c:pt>
                      <c:pt idx="38">
                        <c:v>43785.817084253154</c:v>
                      </c:pt>
                      <c:pt idx="39">
                        <c:v>44223.675255095688</c:v>
                      </c:pt>
                      <c:pt idx="40">
                        <c:v>44665.912007646642</c:v>
                      </c:pt>
                      <c:pt idx="41">
                        <c:v>45112.571127723109</c:v>
                      </c:pt>
                      <c:pt idx="42">
                        <c:v>45563.696839000339</c:v>
                      </c:pt>
                      <c:pt idx="43">
                        <c:v>46019.333807390343</c:v>
                      </c:pt>
                      <c:pt idx="44">
                        <c:v>46479.52714546425</c:v>
                      </c:pt>
                      <c:pt idx="45">
                        <c:v>46944.322416918891</c:v>
                      </c:pt>
                      <c:pt idx="46">
                        <c:v>47413.765641088081</c:v>
                      </c:pt>
                      <c:pt idx="47">
                        <c:v>47887.90329749896</c:v>
                      </c:pt>
                      <c:pt idx="48">
                        <c:v>48366.78233047395</c:v>
                      </c:pt>
                      <c:pt idx="49">
                        <c:v>48850.450153778693</c:v>
                      </c:pt>
                      <c:pt idx="50">
                        <c:v>49338.954655316484</c:v>
                      </c:pt>
                    </c:numCache>
                  </c:numRef>
                </c:val>
                <c:extLst xmlns:c15="http://schemas.microsoft.com/office/drawing/2012/chart">
                  <c:ext xmlns:c16="http://schemas.microsoft.com/office/drawing/2014/chart" uri="{C3380CC4-5D6E-409C-BE32-E72D297353CC}">
                    <c16:uniqueId val="{00000001-78FC-4556-A62A-FE855FD381B2}"/>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Berekening!$J$1</c15:sqref>
                        </c15:formulaRef>
                      </c:ext>
                    </c:extLst>
                    <c:strCache>
                      <c:ptCount val="1"/>
                      <c:pt idx="0">
                        <c:v>Inkomsten belasting</c:v>
                      </c:pt>
                    </c:strCache>
                  </c:strRef>
                </c:tx>
                <c:spPr>
                  <a:solidFill>
                    <a:schemeClr val="accent3"/>
                  </a:solidFill>
                  <a:ln>
                    <a:noFill/>
                  </a:ln>
                  <a:effectLst/>
                </c:spPr>
                <c:invertIfNegative val="0"/>
                <c:cat>
                  <c:strRef>
                    <c:extLst xmlns:c15="http://schemas.microsoft.com/office/drawing/2012/chart">
                      <c:ext xmlns:c15="http://schemas.microsoft.com/office/drawing/2012/chart" uri="{02D57815-91ED-43cb-92C2-25804820EDAC}">
                        <c15:formulaRef>
                          <c15:sqref>Berekening!$F$1:$F$52</c15:sqref>
                        </c15:formulaRef>
                      </c:ext>
                    </c:extLst>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extLst xmlns:c15="http://schemas.microsoft.com/office/drawing/2012/chart">
                      <c:ext xmlns:c15="http://schemas.microsoft.com/office/drawing/2012/chart" uri="{02D57815-91ED-43cb-92C2-25804820EDAC}">
                        <c15:formulaRef>
                          <c15:sqref>Berekening!$J$2:$J$52</c15:sqref>
                        </c15:formulaRef>
                      </c:ext>
                    </c:extLst>
                    <c:numCache>
                      <c:formatCode>_ "€"\ * #,##0_ ;_ "€"\ * \-#,##0_ ;_ "€"\ * "-"??_ ;_ @_ </c:formatCode>
                      <c:ptCount val="5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8601.7357271579458</c:v>
                      </c:pt>
                      <c:pt idx="20">
                        <c:v>8687.7530844295252</c:v>
                      </c:pt>
                      <c:pt idx="21">
                        <c:v>8774.6306152738216</c:v>
                      </c:pt>
                      <c:pt idx="22">
                        <c:v>8862.3769214265594</c:v>
                      </c:pt>
                      <c:pt idx="23">
                        <c:v>8951.0006906408234</c:v>
                      </c:pt>
                      <c:pt idx="24">
                        <c:v>9040.5106975472318</c:v>
                      </c:pt>
                      <c:pt idx="25">
                        <c:v>9130.915804522705</c:v>
                      </c:pt>
                      <c:pt idx="26">
                        <c:v>9222.2249625679306</c:v>
                      </c:pt>
                      <c:pt idx="27">
                        <c:v>9314.4472121936105</c:v>
                      </c:pt>
                      <c:pt idx="28">
                        <c:v>9407.5916843155464</c:v>
                      </c:pt>
                      <c:pt idx="29">
                        <c:v>9501.6676011587024</c:v>
                      </c:pt>
                      <c:pt idx="30">
                        <c:v>9596.6842771702886</c:v>
                      </c:pt>
                      <c:pt idx="31">
                        <c:v>9692.6511199419929</c:v>
                      </c:pt>
                      <c:pt idx="32">
                        <c:v>9789.577631141412</c:v>
                      </c:pt>
                      <c:pt idx="33">
                        <c:v>9887.4734074528278</c:v>
                      </c:pt>
                      <c:pt idx="34">
                        <c:v>9986.3481415273563</c:v>
                      </c:pt>
                      <c:pt idx="35">
                        <c:v>10086.21162294263</c:v>
                      </c:pt>
                      <c:pt idx="36">
                        <c:v>10187.073739172056</c:v>
                      </c:pt>
                      <c:pt idx="37">
                        <c:v>10288.944476563776</c:v>
                      </c:pt>
                      <c:pt idx="38">
                        <c:v>10391.833921329415</c:v>
                      </c:pt>
                      <c:pt idx="39">
                        <c:v>10495.752260542709</c:v>
                      </c:pt>
                      <c:pt idx="40">
                        <c:v>10600.709783148135</c:v>
                      </c:pt>
                      <c:pt idx="41">
                        <c:v>10706.716880979617</c:v>
                      </c:pt>
                      <c:pt idx="42">
                        <c:v>10813.784049789412</c:v>
                      </c:pt>
                      <c:pt idx="43">
                        <c:v>10921.921890287307</c:v>
                      </c:pt>
                      <c:pt idx="44">
                        <c:v>11031.141109190181</c:v>
                      </c:pt>
                      <c:pt idx="45">
                        <c:v>11141.452520282082</c:v>
                      </c:pt>
                      <c:pt idx="46">
                        <c:v>11252.867045484902</c:v>
                      </c:pt>
                      <c:pt idx="47">
                        <c:v>11365.395715939752</c:v>
                      </c:pt>
                      <c:pt idx="48">
                        <c:v>11479.049673099149</c:v>
                      </c:pt>
                      <c:pt idx="49">
                        <c:v>11593.84016983014</c:v>
                      </c:pt>
                      <c:pt idx="50">
                        <c:v>11709.778571528444</c:v>
                      </c:pt>
                    </c:numCache>
                  </c:numRef>
                </c:val>
                <c:extLst xmlns:c15="http://schemas.microsoft.com/office/drawing/2012/chart">
                  <c:ext xmlns:c16="http://schemas.microsoft.com/office/drawing/2014/chart" uri="{C3380CC4-5D6E-409C-BE32-E72D297353CC}">
                    <c16:uniqueId val="{00000002-78FC-4556-A62A-FE855FD381B2}"/>
                  </c:ext>
                </c:extLst>
              </c15:ser>
            </c15:filteredBarSeries>
          </c:ext>
        </c:extLst>
      </c:barChart>
      <c:catAx>
        <c:axId val="17799241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995401999"/>
        <c:crosses val="autoZero"/>
        <c:auto val="1"/>
        <c:lblAlgn val="ctr"/>
        <c:lblOffset val="100"/>
        <c:noMultiLvlLbl val="0"/>
      </c:catAx>
      <c:valAx>
        <c:axId val="995401999"/>
        <c:scaling>
          <c:orientation val="minMax"/>
        </c:scaling>
        <c:delete val="0"/>
        <c:axPos val="l"/>
        <c:majorGridlines>
          <c:spPr>
            <a:ln w="9525" cap="flat" cmpd="sng" algn="ctr">
              <a:solidFill>
                <a:schemeClr val="tx1">
                  <a:lumMod val="15000"/>
                  <a:lumOff val="85000"/>
                </a:schemeClr>
              </a:solidFill>
              <a:round/>
            </a:ln>
            <a:effectLst/>
          </c:spPr>
        </c:majorGridlines>
        <c:numFmt formatCode="_ &quot;€&quot;\ * #,##0_ ;_ &quot;€&quot;\ * \-#,##0_ ;_ &quot;€&quot;\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17799241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Ontwikkeling van het vermogen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clustered"/>
        <c:varyColors val="0"/>
        <c:ser>
          <c:idx val="0"/>
          <c:order val="0"/>
          <c:tx>
            <c:strRef>
              <c:f>Berekening!$P$1</c:f>
              <c:strCache>
                <c:ptCount val="1"/>
                <c:pt idx="0">
                  <c:v>Vermogen begin jaar</c:v>
                </c:pt>
              </c:strCache>
            </c:strRef>
          </c:tx>
          <c:spPr>
            <a:solidFill>
              <a:schemeClr val="accent1"/>
            </a:solidFill>
            <a:ln>
              <a:noFill/>
            </a:ln>
            <a:effectLst/>
          </c:spPr>
          <c:invertIfNegative val="0"/>
          <c:cat>
            <c:strRef>
              <c:f>Berekening!$F$1:$F$52</c:f>
              <c:strCache>
                <c:ptCount val="52"/>
                <c:pt idx="0">
                  <c:v>Leeftijd</c:v>
                </c:pt>
                <c:pt idx="1">
                  <c:v>50</c:v>
                </c:pt>
                <c:pt idx="2">
                  <c:v>51</c:v>
                </c:pt>
                <c:pt idx="3">
                  <c:v>52</c:v>
                </c:pt>
                <c:pt idx="4">
                  <c:v>53</c:v>
                </c:pt>
                <c:pt idx="5">
                  <c:v>54</c:v>
                </c:pt>
                <c:pt idx="6">
                  <c:v>55</c:v>
                </c:pt>
                <c:pt idx="7">
                  <c:v>56</c:v>
                </c:pt>
                <c:pt idx="8">
                  <c:v>57</c:v>
                </c:pt>
                <c:pt idx="9">
                  <c:v>58</c:v>
                </c:pt>
                <c:pt idx="10">
                  <c:v>59</c:v>
                </c:pt>
                <c:pt idx="11">
                  <c:v>60</c:v>
                </c:pt>
                <c:pt idx="12">
                  <c:v>61</c:v>
                </c:pt>
                <c:pt idx="13">
                  <c:v>62</c:v>
                </c:pt>
                <c:pt idx="14">
                  <c:v>63</c:v>
                </c:pt>
                <c:pt idx="15">
                  <c:v>64</c:v>
                </c:pt>
                <c:pt idx="16">
                  <c:v>65</c:v>
                </c:pt>
                <c:pt idx="17">
                  <c:v>66</c:v>
                </c:pt>
                <c:pt idx="18">
                  <c:v>67</c:v>
                </c:pt>
                <c:pt idx="19">
                  <c:v>68</c:v>
                </c:pt>
                <c:pt idx="20">
                  <c:v>69</c:v>
                </c:pt>
                <c:pt idx="21">
                  <c:v>70</c:v>
                </c:pt>
                <c:pt idx="22">
                  <c:v>71</c:v>
                </c:pt>
                <c:pt idx="23">
                  <c:v>72</c:v>
                </c:pt>
                <c:pt idx="24">
                  <c:v>73</c:v>
                </c:pt>
                <c:pt idx="25">
                  <c:v>74</c:v>
                </c:pt>
                <c:pt idx="26">
                  <c:v>75</c:v>
                </c:pt>
                <c:pt idx="27">
                  <c:v>76</c:v>
                </c:pt>
                <c:pt idx="28">
                  <c:v>77</c:v>
                </c:pt>
                <c:pt idx="29">
                  <c:v>78</c:v>
                </c:pt>
                <c:pt idx="30">
                  <c:v>79</c:v>
                </c:pt>
                <c:pt idx="31">
                  <c:v>80</c:v>
                </c:pt>
                <c:pt idx="32">
                  <c:v>81</c:v>
                </c:pt>
                <c:pt idx="33">
                  <c:v>82</c:v>
                </c:pt>
                <c:pt idx="34">
                  <c:v>83</c:v>
                </c:pt>
                <c:pt idx="35">
                  <c:v>84</c:v>
                </c:pt>
                <c:pt idx="36">
                  <c:v>85</c:v>
                </c:pt>
                <c:pt idx="37">
                  <c:v>86</c:v>
                </c:pt>
                <c:pt idx="38">
                  <c:v>87</c:v>
                </c:pt>
                <c:pt idx="39">
                  <c:v>88</c:v>
                </c:pt>
                <c:pt idx="40">
                  <c:v>89</c:v>
                </c:pt>
                <c:pt idx="41">
                  <c:v>90</c:v>
                </c:pt>
                <c:pt idx="42">
                  <c:v>91</c:v>
                </c:pt>
                <c:pt idx="43">
                  <c:v>92</c:v>
                </c:pt>
                <c:pt idx="44">
                  <c:v>93</c:v>
                </c:pt>
                <c:pt idx="45">
                  <c:v>94</c:v>
                </c:pt>
                <c:pt idx="46">
                  <c:v>95</c:v>
                </c:pt>
                <c:pt idx="47">
                  <c:v>96</c:v>
                </c:pt>
                <c:pt idx="48">
                  <c:v>97</c:v>
                </c:pt>
                <c:pt idx="49">
                  <c:v>98</c:v>
                </c:pt>
                <c:pt idx="50">
                  <c:v>99</c:v>
                </c:pt>
                <c:pt idx="51">
                  <c:v>100</c:v>
                </c:pt>
              </c:strCache>
            </c:strRef>
          </c:cat>
          <c:val>
            <c:numRef>
              <c:f>Berekening!$P$2:$P$52</c:f>
              <c:numCache>
                <c:formatCode>_ "€"\ * #,##0_ ;_ "€"\ * \-#,##0_ ;_ "€"\ * "-"??_ ;_ @_ </c:formatCode>
                <c:ptCount val="51"/>
                <c:pt idx="0">
                  <c:v>1232500</c:v>
                </c:pt>
                <c:pt idx="1">
                  <c:v>1220600</c:v>
                </c:pt>
                <c:pt idx="2">
                  <c:v>1206938.8</c:v>
                </c:pt>
                <c:pt idx="3">
                  <c:v>1191418.9628000001</c:v>
                </c:pt>
                <c:pt idx="4">
                  <c:v>1173938.5869388001</c:v>
                </c:pt>
                <c:pt idx="5">
                  <c:v>1154391.1162213148</c:v>
                </c:pt>
                <c:pt idx="6">
                  <c:v>1132665.1413770344</c:v>
                </c:pt>
                <c:pt idx="7">
                  <c:v>1108644.1935296271</c:v>
                </c:pt>
                <c:pt idx="8">
                  <c:v>1082206.5291447712</c:v>
                </c:pt>
                <c:pt idx="9">
                  <c:v>1053224.9061098741</c:v>
                </c:pt>
                <c:pt idx="10">
                  <c:v>1021566.3505853668</c:v>
                </c:pt>
                <c:pt idx="11">
                  <c:v>987091.9142527323</c:v>
                </c:pt>
                <c:pt idx="12">
                  <c:v>949656.42156931537</c:v>
                </c:pt>
                <c:pt idx="13">
                  <c:v>909108.2066242377</c:v>
                </c:pt>
                <c:pt idx="14">
                  <c:v>865288.83917339204</c:v>
                </c:pt>
                <c:pt idx="15">
                  <c:v>818032.83941448049</c:v>
                </c:pt>
                <c:pt idx="16">
                  <c:v>767167.38104536966</c:v>
                </c:pt>
                <c:pt idx="17">
                  <c:v>712511.98213063495</c:v>
                </c:pt>
                <c:pt idx="18">
                  <c:v>653878.1832820233</c:v>
                </c:pt>
                <c:pt idx="19">
                  <c:v>591069.21263865661</c:v>
                </c:pt>
                <c:pt idx="20">
                  <c:v>564396.71184848261</c:v>
                </c:pt>
                <c:pt idx="21">
                  <c:v>535155.00254939124</c:v>
                </c:pt>
                <c:pt idx="22">
                  <c:v>503205.31104478124</c:v>
                </c:pt>
                <c:pt idx="23">
                  <c:v>468402.51200892404</c:v>
                </c:pt>
                <c:pt idx="24">
                  <c:v>430594.8571618041</c:v>
                </c:pt>
                <c:pt idx="25">
                  <c:v>389623.69272403658</c:v>
                </c:pt>
                <c:pt idx="26">
                  <c:v>345323.16519531468</c:v>
                </c:pt>
                <c:pt idx="27">
                  <c:v>297519.91498141555</c:v>
                </c:pt>
                <c:pt idx="28">
                  <c:v>246032.75737562717</c:v>
                </c:pt>
                <c:pt idx="29">
                  <c:v>190672.35038052319</c:v>
                </c:pt>
                <c:pt idx="30">
                  <c:v>131240.84883527641</c:v>
                </c:pt>
                <c:pt idx="31">
                  <c:v>67531.544292131584</c:v>
                </c:pt>
                <c:pt idx="32">
                  <c:v>1350.6308858426316</c:v>
                </c:pt>
                <c:pt idx="33">
                  <c:v>27.012617716852635</c:v>
                </c:pt>
                <c:pt idx="34">
                  <c:v>0.54025235433705265</c:v>
                </c:pt>
                <c:pt idx="35">
                  <c:v>1.0805047086741053E-2</c:v>
                </c:pt>
                <c:pt idx="36">
                  <c:v>2.1610094173482109E-4</c:v>
                </c:pt>
                <c:pt idx="37">
                  <c:v>4.3220188346964218E-6</c:v>
                </c:pt>
                <c:pt idx="38">
                  <c:v>8.6440376693928433E-8</c:v>
                </c:pt>
                <c:pt idx="39">
                  <c:v>1.7288075338785687E-9</c:v>
                </c:pt>
                <c:pt idx="40">
                  <c:v>3.4576150677571375E-11</c:v>
                </c:pt>
                <c:pt idx="41">
                  <c:v>6.9152301355142753E-13</c:v>
                </c:pt>
                <c:pt idx="42">
                  <c:v>1.383046027102855E-14</c:v>
                </c:pt>
                <c:pt idx="43">
                  <c:v>2.76609205420571E-16</c:v>
                </c:pt>
                <c:pt idx="44">
                  <c:v>5.5321841084114199E-18</c:v>
                </c:pt>
                <c:pt idx="45">
                  <c:v>1.106436821682284E-19</c:v>
                </c:pt>
                <c:pt idx="46">
                  <c:v>2.2128736433645681E-21</c:v>
                </c:pt>
                <c:pt idx="47">
                  <c:v>4.4257472867291363E-23</c:v>
                </c:pt>
                <c:pt idx="48">
                  <c:v>8.851494573458273E-25</c:v>
                </c:pt>
                <c:pt idx="49">
                  <c:v>1.7702989146916545E-26</c:v>
                </c:pt>
                <c:pt idx="50">
                  <c:v>3.5405978293833092E-28</c:v>
                </c:pt>
              </c:numCache>
            </c:numRef>
          </c:val>
          <c:extLst>
            <c:ext xmlns:c16="http://schemas.microsoft.com/office/drawing/2014/chart" uri="{C3380CC4-5D6E-409C-BE32-E72D297353CC}">
              <c16:uniqueId val="{00000000-D4EF-404B-B041-E457E0B58019}"/>
            </c:ext>
          </c:extLst>
        </c:ser>
        <c:dLbls>
          <c:showLegendKey val="0"/>
          <c:showVal val="0"/>
          <c:showCatName val="0"/>
          <c:showSerName val="0"/>
          <c:showPercent val="0"/>
          <c:showBubbleSize val="0"/>
        </c:dLbls>
        <c:gapWidth val="219"/>
        <c:overlap val="-27"/>
        <c:axId val="1433258703"/>
        <c:axId val="1433251983"/>
      </c:barChart>
      <c:catAx>
        <c:axId val="14332587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1433251983"/>
        <c:crosses val="autoZero"/>
        <c:auto val="1"/>
        <c:lblAlgn val="ctr"/>
        <c:lblOffset val="100"/>
        <c:noMultiLvlLbl val="0"/>
      </c:catAx>
      <c:valAx>
        <c:axId val="1433251983"/>
        <c:scaling>
          <c:orientation val="minMax"/>
        </c:scaling>
        <c:delete val="0"/>
        <c:axPos val="l"/>
        <c:majorGridlines>
          <c:spPr>
            <a:ln w="9525" cap="flat" cmpd="sng" algn="ctr">
              <a:solidFill>
                <a:schemeClr val="tx1">
                  <a:lumMod val="15000"/>
                  <a:lumOff val="85000"/>
                </a:schemeClr>
              </a:solidFill>
              <a:round/>
            </a:ln>
            <a:effectLst/>
          </c:spPr>
        </c:majorGridlines>
        <c:numFmt formatCode="_ &quot;€&quot;\ * #,##0_ ;_ &quot;€&quot;\ * \-#,##0_ ;_ &quot;€&quot;\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143325870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png"/><Relationship Id="rId5" Type="http://schemas.openxmlformats.org/officeDocument/2006/relationships/hyperlink" Target="https://calendly.com/d/cs8h-cjz-55c/eerste-kennismaking?month=2025-12" TargetMode="External"/><Relationship Id="rId4"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607218</xdr:colOff>
      <xdr:row>44</xdr:row>
      <xdr:rowOff>0</xdr:rowOff>
    </xdr:from>
    <xdr:to>
      <xdr:col>6</xdr:col>
      <xdr:colOff>285749</xdr:colOff>
      <xdr:row>57</xdr:row>
      <xdr:rowOff>41672</xdr:rowOff>
    </xdr:to>
    <xdr:graphicFrame macro="">
      <xdr:nvGraphicFramePr>
        <xdr:cNvPr id="4" name="Grafiek 3">
          <a:extLst>
            <a:ext uri="{FF2B5EF4-FFF2-40B4-BE49-F238E27FC236}">
              <a16:creationId xmlns:a16="http://schemas.microsoft.com/office/drawing/2014/main" id="{5428AEB6-BB56-41AF-9C18-64A7A873B0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5952</xdr:colOff>
      <xdr:row>68</xdr:row>
      <xdr:rowOff>71437</xdr:rowOff>
    </xdr:from>
    <xdr:to>
      <xdr:col>6</xdr:col>
      <xdr:colOff>273843</xdr:colOff>
      <xdr:row>82</xdr:row>
      <xdr:rowOff>147637</xdr:rowOff>
    </xdr:to>
    <xdr:graphicFrame macro="">
      <xdr:nvGraphicFramePr>
        <xdr:cNvPr id="6" name="Grafiek 5">
          <a:extLst>
            <a:ext uri="{FF2B5EF4-FFF2-40B4-BE49-F238E27FC236}">
              <a16:creationId xmlns:a16="http://schemas.microsoft.com/office/drawing/2014/main" id="{5301243C-D5F1-42FB-BCC0-6B72A45F2C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335017</xdr:colOff>
      <xdr:row>1</xdr:row>
      <xdr:rowOff>131380</xdr:rowOff>
    </xdr:from>
    <xdr:to>
      <xdr:col>1</xdr:col>
      <xdr:colOff>3006818</xdr:colOff>
      <xdr:row>5</xdr:row>
      <xdr:rowOff>123349</xdr:rowOff>
    </xdr:to>
    <xdr:pic>
      <xdr:nvPicPr>
        <xdr:cNvPr id="2" name="Afbeelding 1">
          <a:extLst>
            <a:ext uri="{FF2B5EF4-FFF2-40B4-BE49-F238E27FC236}">
              <a16:creationId xmlns:a16="http://schemas.microsoft.com/office/drawing/2014/main" id="{90A87FBB-F226-4707-84BB-344D5701C542}"/>
            </a:ext>
          </a:extLst>
        </xdr:cNvPr>
        <xdr:cNvPicPr>
          <a:picLocks noChangeAspect="1"/>
        </xdr:cNvPicPr>
      </xdr:nvPicPr>
      <xdr:blipFill>
        <a:blip xmlns:r="http://schemas.openxmlformats.org/officeDocument/2006/relationships" r:embed="rId3"/>
        <a:stretch>
          <a:fillRect/>
        </a:stretch>
      </xdr:blipFill>
      <xdr:spPr>
        <a:xfrm>
          <a:off x="945931" y="321880"/>
          <a:ext cx="2671801" cy="793383"/>
        </a:xfrm>
        <a:prstGeom prst="rect">
          <a:avLst/>
        </a:prstGeom>
      </xdr:spPr>
    </xdr:pic>
    <xdr:clientData/>
  </xdr:twoCellAnchor>
  <xdr:twoCellAnchor editAs="oneCell">
    <xdr:from>
      <xdr:col>2</xdr:col>
      <xdr:colOff>138153</xdr:colOff>
      <xdr:row>0</xdr:row>
      <xdr:rowOff>190295</xdr:rowOff>
    </xdr:from>
    <xdr:to>
      <xdr:col>3</xdr:col>
      <xdr:colOff>139500</xdr:colOff>
      <xdr:row>5</xdr:row>
      <xdr:rowOff>170852</xdr:rowOff>
    </xdr:to>
    <xdr:pic>
      <xdr:nvPicPr>
        <xdr:cNvPr id="3" name="Afbeelding 2" descr="profielafbeelding">
          <a:extLst>
            <a:ext uri="{FF2B5EF4-FFF2-40B4-BE49-F238E27FC236}">
              <a16:creationId xmlns:a16="http://schemas.microsoft.com/office/drawing/2014/main" id="{8D375D50-EC01-442C-A722-F54CF6DF892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987567" y="190295"/>
          <a:ext cx="973554" cy="9724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314142</xdr:colOff>
      <xdr:row>1</xdr:row>
      <xdr:rowOff>1</xdr:rowOff>
    </xdr:from>
    <xdr:to>
      <xdr:col>12</xdr:col>
      <xdr:colOff>388328</xdr:colOff>
      <xdr:row>6</xdr:row>
      <xdr:rowOff>4298</xdr:rowOff>
    </xdr:to>
    <xdr:pic>
      <xdr:nvPicPr>
        <xdr:cNvPr id="5" name="Afbeelding 4">
          <a:hlinkClick xmlns:r="http://schemas.openxmlformats.org/officeDocument/2006/relationships" r:id="rId5"/>
          <a:extLst>
            <a:ext uri="{FF2B5EF4-FFF2-40B4-BE49-F238E27FC236}">
              <a16:creationId xmlns:a16="http://schemas.microsoft.com/office/drawing/2014/main" id="{53CB31C1-6489-9DC9-95C1-E51CE30F7614}"/>
            </a:ext>
          </a:extLst>
        </xdr:cNvPr>
        <xdr:cNvPicPr>
          <a:picLocks noChangeAspect="1"/>
        </xdr:cNvPicPr>
      </xdr:nvPicPr>
      <xdr:blipFill>
        <a:blip xmlns:r="http://schemas.openxmlformats.org/officeDocument/2006/relationships" r:embed="rId6"/>
        <a:stretch>
          <a:fillRect/>
        </a:stretch>
      </xdr:blipFill>
      <xdr:spPr>
        <a:xfrm>
          <a:off x="8498315" y="190501"/>
          <a:ext cx="1898589" cy="993432"/>
        </a:xfrm>
        <a:prstGeom prst="rect">
          <a:avLst/>
        </a:prstGeom>
      </xdr:spPr>
    </xdr:pic>
    <xdr:clientData/>
  </xdr:twoCellAnchor>
  <xdr:twoCellAnchor>
    <xdr:from>
      <xdr:col>1</xdr:col>
      <xdr:colOff>17859</xdr:colOff>
      <xdr:row>36</xdr:row>
      <xdr:rowOff>119062</xdr:rowOff>
    </xdr:from>
    <xdr:to>
      <xdr:col>6</xdr:col>
      <xdr:colOff>172641</xdr:colOff>
      <xdr:row>43</xdr:row>
      <xdr:rowOff>77391</xdr:rowOff>
    </xdr:to>
    <xdr:sp macro="" textlink="">
      <xdr:nvSpPr>
        <xdr:cNvPr id="7" name="Tekstvak 6">
          <a:extLst>
            <a:ext uri="{FF2B5EF4-FFF2-40B4-BE49-F238E27FC236}">
              <a16:creationId xmlns:a16="http://schemas.microsoft.com/office/drawing/2014/main" id="{C084412C-6205-1897-DD2A-6259237E6919}"/>
            </a:ext>
          </a:extLst>
        </xdr:cNvPr>
        <xdr:cNvSpPr txBox="1"/>
      </xdr:nvSpPr>
      <xdr:spPr>
        <a:xfrm>
          <a:off x="625078" y="7024687"/>
          <a:ext cx="6185297" cy="12918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a:t>Hieronder krijg je een overzicht van hoe je inkomsten</a:t>
          </a:r>
          <a:r>
            <a:rPr lang="nl-NL" sz="1100" baseline="0"/>
            <a:t> en uitgaven zich naar verwachting de komende 50 jaar gaan ontwikkeling. In dit scenario stop je direct met werken. Er zijn dus geen inkomsten tot aan je pensioenleeftijd. Vanaf je pensioenleeftijd heb je inkomsten uit AOW, pensioen en lijfrentes. Tot aan je pensioen leef je vanuit je vermogen.</a:t>
          </a:r>
          <a:endParaRPr lang="nl-NL" sz="1100"/>
        </a:p>
      </xdr:txBody>
    </xdr:sp>
    <xdr:clientData/>
  </xdr:twoCellAnchor>
  <xdr:twoCellAnchor>
    <xdr:from>
      <xdr:col>1</xdr:col>
      <xdr:colOff>0</xdr:colOff>
      <xdr:row>60</xdr:row>
      <xdr:rowOff>142875</xdr:rowOff>
    </xdr:from>
    <xdr:to>
      <xdr:col>6</xdr:col>
      <xdr:colOff>154782</xdr:colOff>
      <xdr:row>67</xdr:row>
      <xdr:rowOff>101204</xdr:rowOff>
    </xdr:to>
    <xdr:sp macro="" textlink="">
      <xdr:nvSpPr>
        <xdr:cNvPr id="8" name="Tekstvak 7">
          <a:extLst>
            <a:ext uri="{FF2B5EF4-FFF2-40B4-BE49-F238E27FC236}">
              <a16:creationId xmlns:a16="http://schemas.microsoft.com/office/drawing/2014/main" id="{3B7D0B0A-66DB-4FBF-B3B2-F2565C1768DC}"/>
            </a:ext>
          </a:extLst>
        </xdr:cNvPr>
        <xdr:cNvSpPr txBox="1"/>
      </xdr:nvSpPr>
      <xdr:spPr>
        <a:xfrm>
          <a:off x="607219" y="11811000"/>
          <a:ext cx="6185297" cy="12918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a:t>De</a:t>
          </a:r>
          <a:r>
            <a:rPr lang="nl-NL" sz="1100" baseline="0"/>
            <a:t> volgende grafiek laat zien hoe je vermogen zich de komende 50 jaar naar verwachting gaat ontwikkelen. Als je meer uitgaven hebt dan inkomsten, wordt er geld uit het vermogen gehaald. Als de inkomsten hoger zijn dan de uitgaven, wordt er geld toegevoegd aan het vermogen. Verder groeit het vermogen, afhankelijk van het netto rendement dat je opgeeft. Als het vermogen op 0 staat, val je terug op de inkomsten die je hebt. Dit kan niet meer vanuit het vermogen aangevuld worden. </a:t>
          </a:r>
          <a:endParaRPr lang="nl-NL" sz="1100"/>
        </a:p>
      </xdr:txBody>
    </xdr:sp>
    <xdr:clientData/>
  </xdr:twoCellAnchor>
  <xdr:twoCellAnchor>
    <xdr:from>
      <xdr:col>1</xdr:col>
      <xdr:colOff>6568</xdr:colOff>
      <xdr:row>86</xdr:row>
      <xdr:rowOff>151085</xdr:rowOff>
    </xdr:from>
    <xdr:to>
      <xdr:col>6</xdr:col>
      <xdr:colOff>295604</xdr:colOff>
      <xdr:row>99</xdr:row>
      <xdr:rowOff>183930</xdr:rowOff>
    </xdr:to>
    <xdr:sp macro="" textlink="">
      <xdr:nvSpPr>
        <xdr:cNvPr id="10" name="Tekstvak 9">
          <a:extLst>
            <a:ext uri="{FF2B5EF4-FFF2-40B4-BE49-F238E27FC236}">
              <a16:creationId xmlns:a16="http://schemas.microsoft.com/office/drawing/2014/main" id="{94649F9A-61EC-442A-884E-47B4377E3F23}"/>
            </a:ext>
          </a:extLst>
        </xdr:cNvPr>
        <xdr:cNvSpPr txBox="1"/>
      </xdr:nvSpPr>
      <xdr:spPr>
        <a:xfrm>
          <a:off x="617482" y="16580068"/>
          <a:ext cx="6332484" cy="250934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a:t>Je kunt een aantal acties</a:t>
          </a:r>
          <a:r>
            <a:rPr lang="nl-NL" sz="1100" baseline="0"/>
            <a:t> ondernemen om je pensioenplan te realiseren:</a:t>
          </a:r>
          <a:br>
            <a:rPr lang="nl-NL" sz="1100" baseline="0"/>
          </a:br>
          <a:r>
            <a:rPr lang="nl-NL" sz="1100" baseline="0"/>
            <a:t>1. Uitgaven verlagen. Door je uitgavenpatroon hierboven aan te passen kan je direct de impact doorrekenen. </a:t>
          </a:r>
          <a:endParaRPr lang="nl-NL" sz="1100" b="1" i="0" u="none" strike="noStrike" baseline="0">
            <a:solidFill>
              <a:schemeClr val="dk1"/>
            </a:solidFill>
            <a:effectLst/>
            <a:latin typeface="+mn-lt"/>
            <a:ea typeface="+mn-ea"/>
            <a:cs typeface="+mn-cs"/>
          </a:endParaRPr>
        </a:p>
        <a:p>
          <a:r>
            <a:rPr lang="nl-NL" sz="1100" b="0" i="0" u="none" strike="noStrike" baseline="0">
              <a:solidFill>
                <a:schemeClr val="dk1"/>
              </a:solidFill>
              <a:effectLst/>
              <a:latin typeface="+mn-lt"/>
              <a:ea typeface="+mn-ea"/>
              <a:cs typeface="+mn-cs"/>
            </a:rPr>
            <a:t>2. Extra vermogen opbouwen, in de BV of in privé. Door het vermogen hierboven te verhogen, kan je zien wat de invloed is van extra vermogen</a:t>
          </a:r>
        </a:p>
        <a:p>
          <a:r>
            <a:rPr lang="nl-NL" sz="1100" b="0" i="0" u="none" strike="noStrike" baseline="0">
              <a:solidFill>
                <a:schemeClr val="dk1"/>
              </a:solidFill>
              <a:effectLst/>
              <a:latin typeface="+mn-lt"/>
              <a:ea typeface="+mn-ea"/>
              <a:cs typeface="+mn-cs"/>
            </a:rPr>
            <a:t>3. Rendement verhogen. Met een hoger rendement op je vermogen komen je doelen sneller dichterbij</a:t>
          </a:r>
        </a:p>
        <a:p>
          <a:endParaRPr lang="nl-NL" sz="1100" b="0" i="0" u="none" strike="noStrike" baseline="0">
            <a:solidFill>
              <a:schemeClr val="dk1"/>
            </a:solidFill>
            <a:effectLst/>
            <a:latin typeface="+mn-lt"/>
            <a:ea typeface="+mn-ea"/>
            <a:cs typeface="+mn-cs"/>
          </a:endParaRPr>
        </a:p>
        <a:p>
          <a:r>
            <a:rPr lang="nl-NL" sz="1100" b="0" i="0" u="none" strike="noStrike" baseline="0">
              <a:solidFill>
                <a:schemeClr val="dk1"/>
              </a:solidFill>
              <a:effectLst/>
              <a:latin typeface="+mn-lt"/>
              <a:ea typeface="+mn-ea"/>
              <a:cs typeface="+mn-cs"/>
            </a:rPr>
            <a:t>Zoals je ziet, hebben acties een enorme impact. Je doelen zijn makkelijker te realiseren dan je denkt!</a:t>
          </a:r>
        </a:p>
        <a:p>
          <a:endParaRPr lang="nl-NL" sz="1100" b="0" i="0" u="none" strike="noStrike" baseline="0">
            <a:solidFill>
              <a:schemeClr val="dk1"/>
            </a:solidFill>
            <a:effectLst/>
            <a:latin typeface="+mn-lt"/>
            <a:ea typeface="+mn-ea"/>
            <a:cs typeface="+mn-cs"/>
          </a:endParaRPr>
        </a:p>
        <a:p>
          <a:r>
            <a:rPr lang="nl-NL" sz="1100" b="0" i="0" u="none" strike="noStrike" baseline="0">
              <a:solidFill>
                <a:schemeClr val="dk1"/>
              </a:solidFill>
              <a:effectLst/>
              <a:latin typeface="+mn-lt"/>
              <a:ea typeface="+mn-ea"/>
              <a:cs typeface="+mn-cs"/>
            </a:rPr>
            <a:t>Ben je een DGA-ondernemer en wil je in het nieuwe jaar aan de slag met je financiële toekomst? Plan dan snel een afspraak in. Wij zijn volledig gericht op financiële en fiscale optimalisatie van DGA-ondernemers. </a:t>
          </a:r>
        </a:p>
        <a:p>
          <a:endParaRPr lang="nl-NL" sz="1100" b="0" i="0" u="none" strike="noStrike" baseline="0">
            <a:solidFill>
              <a:schemeClr val="dk1"/>
            </a:solidFill>
            <a:effectLst/>
            <a:latin typeface="+mn-lt"/>
            <a:ea typeface="+mn-ea"/>
            <a:cs typeface="+mn-cs"/>
          </a:endParaRPr>
        </a:p>
        <a:p>
          <a:r>
            <a:rPr lang="nl-NL" sz="1100" b="0" i="0" u="none" strike="noStrike" baseline="0">
              <a:solidFill>
                <a:schemeClr val="dk1"/>
              </a:solidFill>
              <a:effectLst/>
              <a:latin typeface="+mn-lt"/>
              <a:ea typeface="+mn-ea"/>
              <a:cs typeface="+mn-cs"/>
            </a:rPr>
            <a:t>Met vriendelijke groet,</a:t>
          </a:r>
        </a:p>
        <a:p>
          <a:endParaRPr lang="nl-NL" sz="1100" b="0" i="0" u="none" strike="noStrike" baseline="0">
            <a:solidFill>
              <a:schemeClr val="dk1"/>
            </a:solidFill>
            <a:effectLst/>
            <a:latin typeface="+mn-lt"/>
            <a:ea typeface="+mn-ea"/>
            <a:cs typeface="+mn-cs"/>
          </a:endParaRPr>
        </a:p>
        <a:p>
          <a:r>
            <a:rPr lang="nl-NL" sz="1100" b="0" i="0" u="none" strike="noStrike" baseline="0">
              <a:solidFill>
                <a:schemeClr val="dk1"/>
              </a:solidFill>
              <a:effectLst/>
              <a:latin typeface="+mn-lt"/>
              <a:ea typeface="+mn-ea"/>
              <a:cs typeface="+mn-cs"/>
            </a:rPr>
            <a:t>David Bogaerds</a:t>
          </a:r>
        </a:p>
      </xdr:txBody>
    </xdr:sp>
    <xdr:clientData/>
  </xdr:twoCellAnchor>
  <xdr:twoCellAnchor editAs="oneCell">
    <xdr:from>
      <xdr:col>1</xdr:col>
      <xdr:colOff>1635672</xdr:colOff>
      <xdr:row>101</xdr:row>
      <xdr:rowOff>72259</xdr:rowOff>
    </xdr:from>
    <xdr:to>
      <xdr:col>2</xdr:col>
      <xdr:colOff>304100</xdr:colOff>
      <xdr:row>106</xdr:row>
      <xdr:rowOff>115970</xdr:rowOff>
    </xdr:to>
    <xdr:pic>
      <xdr:nvPicPr>
        <xdr:cNvPr id="11" name="Afbeelding 10">
          <a:hlinkClick xmlns:r="http://schemas.openxmlformats.org/officeDocument/2006/relationships" r:id="rId5"/>
          <a:extLst>
            <a:ext uri="{FF2B5EF4-FFF2-40B4-BE49-F238E27FC236}">
              <a16:creationId xmlns:a16="http://schemas.microsoft.com/office/drawing/2014/main" id="{345F0F13-5C7B-4229-8D07-EF53D70D8949}"/>
            </a:ext>
          </a:extLst>
        </xdr:cNvPr>
        <xdr:cNvPicPr>
          <a:picLocks noChangeAspect="1"/>
        </xdr:cNvPicPr>
      </xdr:nvPicPr>
      <xdr:blipFill>
        <a:blip xmlns:r="http://schemas.openxmlformats.org/officeDocument/2006/relationships" r:embed="rId6"/>
        <a:stretch>
          <a:fillRect/>
        </a:stretch>
      </xdr:blipFill>
      <xdr:spPr>
        <a:xfrm>
          <a:off x="2246586" y="19358742"/>
          <a:ext cx="1906928" cy="996211"/>
        </a:xfrm>
        <a:prstGeom prst="rect">
          <a:avLst/>
        </a:prstGeom>
      </xdr:spPr>
    </xdr:pic>
    <xdr:clientData/>
  </xdr:twoCellAnchor>
  <xdr:twoCellAnchor editAs="oneCell">
    <xdr:from>
      <xdr:col>1</xdr:col>
      <xdr:colOff>78828</xdr:colOff>
      <xdr:row>101</xdr:row>
      <xdr:rowOff>72259</xdr:rowOff>
    </xdr:from>
    <xdr:to>
      <xdr:col>1</xdr:col>
      <xdr:colOff>1052382</xdr:colOff>
      <xdr:row>106</xdr:row>
      <xdr:rowOff>92230</xdr:rowOff>
    </xdr:to>
    <xdr:pic>
      <xdr:nvPicPr>
        <xdr:cNvPr id="12" name="Afbeelding 11" descr="profielafbeelding">
          <a:extLst>
            <a:ext uri="{FF2B5EF4-FFF2-40B4-BE49-F238E27FC236}">
              <a16:creationId xmlns:a16="http://schemas.microsoft.com/office/drawing/2014/main" id="{D8A421CD-22B0-4465-B635-70E72D2E32A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89742" y="19358742"/>
          <a:ext cx="973554" cy="9724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ijnpensioenoverzicht.nl/" TargetMode="External"/><Relationship Id="rId2" Type="http://schemas.openxmlformats.org/officeDocument/2006/relationships/hyperlink" Target="https://www.berekenhet.nl/pensioen/uitkeringen-lijfrenteverzekering.html" TargetMode="External"/><Relationship Id="rId1" Type="http://schemas.openxmlformats.org/officeDocument/2006/relationships/hyperlink" Target="https://www.berekenhet.nl/pensioen/uitkeringen-bancaire-lijfrente.htm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wijzeringeldzaken.nl/rekenhulpen/rekenhulp-aow-leeftijd/?gad_source=1&amp;gad_campaignid=857423175&amp;gbraid=0AAAAAD2Uv4fjL19xkjjq1MyQF8MGNdZcN&amp;gclid=CjwKCAiA9aPKBhBhEiwAyz82J1ZSEBS-5BozZzM7_LVvSWaCO9de8Ce9OiQ3Ry2DABF2btsf-sW-4RoCJ4gQAvD_Bw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7A634-6711-4464-B0A4-EA943F4167DB}">
  <dimension ref="B2:K86"/>
  <sheetViews>
    <sheetView showGridLines="0" tabSelected="1" zoomScale="115" zoomScaleNormal="115" workbookViewId="0">
      <selection activeCell="N11" sqref="N11"/>
    </sheetView>
  </sheetViews>
  <sheetFormatPr defaultRowHeight="15" x14ac:dyDescent="0.25"/>
  <cols>
    <col min="2" max="2" width="48.5703125" customWidth="1"/>
    <col min="3" max="3" width="14.5703125" bestFit="1" customWidth="1"/>
  </cols>
  <sheetData>
    <row r="2" spans="2:11" ht="15" customHeight="1" x14ac:dyDescent="0.25">
      <c r="E2" s="5" t="s">
        <v>19</v>
      </c>
      <c r="F2" s="5"/>
      <c r="G2" s="5"/>
      <c r="H2" s="5"/>
      <c r="I2" s="5"/>
    </row>
    <row r="3" spans="2:11" x14ac:dyDescent="0.25">
      <c r="E3" s="5"/>
      <c r="F3" s="5"/>
      <c r="G3" s="5"/>
      <c r="H3" s="5"/>
      <c r="I3" s="5"/>
    </row>
    <row r="4" spans="2:11" x14ac:dyDescent="0.25">
      <c r="E4" s="6"/>
      <c r="F4" s="6"/>
      <c r="G4" s="6"/>
      <c r="H4" s="6"/>
      <c r="I4" s="6"/>
    </row>
    <row r="5" spans="2:11" ht="18" customHeight="1" x14ac:dyDescent="0.25">
      <c r="E5" s="5" t="s">
        <v>21</v>
      </c>
      <c r="F5" s="5"/>
      <c r="G5" s="5"/>
      <c r="H5" s="5"/>
      <c r="I5" s="5"/>
    </row>
    <row r="6" spans="2:11" x14ac:dyDescent="0.25">
      <c r="E6" s="5" t="s">
        <v>20</v>
      </c>
      <c r="F6" s="5"/>
      <c r="G6" s="5"/>
      <c r="H6" s="5"/>
      <c r="I6" s="5"/>
    </row>
    <row r="7" spans="2:11" s="7" customFormat="1" x14ac:dyDescent="0.25">
      <c r="E7" s="8"/>
      <c r="F7" s="8"/>
      <c r="G7" s="8"/>
      <c r="H7" s="8"/>
      <c r="I7" s="8"/>
    </row>
    <row r="8" spans="2:11" s="7" customFormat="1" x14ac:dyDescent="0.25">
      <c r="B8" s="9" t="s">
        <v>22</v>
      </c>
      <c r="C8" s="10"/>
      <c r="D8" s="10"/>
      <c r="E8" s="10"/>
      <c r="F8" s="10"/>
      <c r="G8" s="10"/>
      <c r="H8" s="10"/>
      <c r="I8" s="10"/>
      <c r="J8" s="11"/>
    </row>
    <row r="9" spans="2:11" s="7" customFormat="1" x14ac:dyDescent="0.25">
      <c r="B9" s="12" t="s">
        <v>23</v>
      </c>
      <c r="C9"/>
      <c r="D9"/>
      <c r="E9"/>
      <c r="F9"/>
      <c r="G9"/>
      <c r="H9"/>
      <c r="I9"/>
      <c r="J9" s="13"/>
    </row>
    <row r="10" spans="2:11" s="7" customFormat="1" ht="15.75" thickBot="1" x14ac:dyDescent="0.3">
      <c r="B10" s="14" t="s">
        <v>24</v>
      </c>
      <c r="C10" s="15"/>
      <c r="D10" s="15"/>
      <c r="E10" s="15"/>
      <c r="F10" s="15"/>
      <c r="G10" s="15"/>
      <c r="H10" s="15"/>
      <c r="I10" s="15"/>
      <c r="J10" s="16"/>
    </row>
    <row r="11" spans="2:11" s="7" customFormat="1" x14ac:dyDescent="0.25">
      <c r="E11" s="8"/>
      <c r="F11" s="8"/>
      <c r="G11" s="8"/>
      <c r="H11" s="8"/>
      <c r="I11" s="8"/>
    </row>
    <row r="12" spans="2:11" s="7" customFormat="1" x14ac:dyDescent="0.25">
      <c r="E12" s="8"/>
      <c r="F12" s="8"/>
      <c r="G12" s="8"/>
      <c r="H12" s="8"/>
      <c r="I12" s="8"/>
    </row>
    <row r="13" spans="2:11" s="7" customFormat="1" x14ac:dyDescent="0.25">
      <c r="B13" s="21" t="s">
        <v>25</v>
      </c>
      <c r="E13" s="8"/>
      <c r="F13" s="8"/>
      <c r="G13" s="8"/>
      <c r="H13" s="8"/>
      <c r="I13" s="8"/>
    </row>
    <row r="14" spans="2:11" x14ac:dyDescent="0.25">
      <c r="B14" s="25" t="s">
        <v>0</v>
      </c>
      <c r="C14" s="46">
        <v>50</v>
      </c>
    </row>
    <row r="15" spans="2:11" x14ac:dyDescent="0.25">
      <c r="B15" s="25" t="s">
        <v>1</v>
      </c>
      <c r="C15" s="47">
        <v>60000</v>
      </c>
      <c r="D15" t="s">
        <v>2</v>
      </c>
    </row>
    <row r="16" spans="2:11" x14ac:dyDescent="0.25">
      <c r="B16" s="25" t="s">
        <v>26</v>
      </c>
      <c r="C16" s="47">
        <v>30000</v>
      </c>
      <c r="D16" t="s">
        <v>53</v>
      </c>
      <c r="K16" s="30" t="s">
        <v>35</v>
      </c>
    </row>
    <row r="17" spans="2:11" x14ac:dyDescent="0.25">
      <c r="B17" s="25" t="s">
        <v>37</v>
      </c>
      <c r="C17" s="47">
        <v>10000</v>
      </c>
      <c r="D17" t="s">
        <v>38</v>
      </c>
    </row>
    <row r="18" spans="2:11" s="20" customFormat="1" x14ac:dyDescent="0.25">
      <c r="C18" s="22"/>
    </row>
    <row r="19" spans="2:11" x14ac:dyDescent="0.25">
      <c r="B19" s="25" t="s">
        <v>30</v>
      </c>
      <c r="C19" s="47">
        <v>1500000</v>
      </c>
    </row>
    <row r="20" spans="2:11" x14ac:dyDescent="0.25">
      <c r="B20" s="25" t="s">
        <v>27</v>
      </c>
      <c r="C20" s="48">
        <v>0.245</v>
      </c>
      <c r="D20" t="s">
        <v>28</v>
      </c>
    </row>
    <row r="21" spans="2:11" x14ac:dyDescent="0.25">
      <c r="B21" s="26" t="s">
        <v>15</v>
      </c>
      <c r="C21" s="23">
        <f>C19*(1-C20)</f>
        <v>1132500</v>
      </c>
      <c r="D21" t="s">
        <v>29</v>
      </c>
    </row>
    <row r="23" spans="2:11" x14ac:dyDescent="0.25">
      <c r="B23" s="25" t="s">
        <v>31</v>
      </c>
      <c r="C23" s="47">
        <v>100000</v>
      </c>
    </row>
    <row r="24" spans="2:11" x14ac:dyDescent="0.25">
      <c r="B24" s="26" t="s">
        <v>49</v>
      </c>
      <c r="C24" s="24">
        <f>C23+C21</f>
        <v>1232500</v>
      </c>
      <c r="D24" t="s">
        <v>32</v>
      </c>
    </row>
    <row r="26" spans="2:11" x14ac:dyDescent="0.25">
      <c r="B26" s="25" t="s">
        <v>16</v>
      </c>
      <c r="C26" s="48">
        <v>0.04</v>
      </c>
      <c r="D26" t="s">
        <v>4</v>
      </c>
    </row>
    <row r="27" spans="2:11" x14ac:dyDescent="0.25">
      <c r="B27" s="25" t="s">
        <v>3</v>
      </c>
      <c r="C27" s="48">
        <v>2.1000000000000001E-2</v>
      </c>
      <c r="D27" t="s">
        <v>55</v>
      </c>
    </row>
    <row r="28" spans="2:11" x14ac:dyDescent="0.25">
      <c r="B28" s="25" t="s">
        <v>33</v>
      </c>
      <c r="C28" s="46">
        <v>69</v>
      </c>
      <c r="D28" t="s">
        <v>54</v>
      </c>
      <c r="K28" s="30" t="s">
        <v>35</v>
      </c>
    </row>
    <row r="29" spans="2:11" x14ac:dyDescent="0.25">
      <c r="B29" s="25" t="s">
        <v>44</v>
      </c>
      <c r="C29" s="48">
        <v>0.01</v>
      </c>
      <c r="D29" t="s">
        <v>56</v>
      </c>
      <c r="J29" s="45"/>
    </row>
    <row r="31" spans="2:11" x14ac:dyDescent="0.25">
      <c r="B31" s="28" t="s">
        <v>34</v>
      </c>
      <c r="C31" s="29"/>
      <c r="D31" s="30" t="s">
        <v>35</v>
      </c>
      <c r="E31" s="31"/>
      <c r="F31" s="31"/>
      <c r="G31" s="31"/>
      <c r="H31" s="31"/>
      <c r="I31" s="31"/>
      <c r="J31" s="31"/>
    </row>
    <row r="32" spans="2:11" x14ac:dyDescent="0.25">
      <c r="B32" s="28" t="s">
        <v>36</v>
      </c>
      <c r="C32" s="29"/>
      <c r="D32" s="30" t="s">
        <v>35</v>
      </c>
      <c r="E32" s="31"/>
      <c r="F32" s="31"/>
      <c r="G32" s="31"/>
      <c r="H32" s="31"/>
      <c r="I32" s="31"/>
      <c r="J32" s="31"/>
    </row>
    <row r="34" spans="2:4" x14ac:dyDescent="0.25">
      <c r="B34" s="27" t="s">
        <v>46</v>
      </c>
      <c r="C34" s="29"/>
      <c r="D34" s="29"/>
    </row>
    <row r="35" spans="2:4" s="7" customFormat="1" x14ac:dyDescent="0.25">
      <c r="B35" s="27" t="s">
        <v>47</v>
      </c>
      <c r="C35" s="29"/>
      <c r="D35" s="29"/>
    </row>
    <row r="36" spans="2:4" s="7" customFormat="1" x14ac:dyDescent="0.25">
      <c r="B36" s="40"/>
      <c r="C36" s="40"/>
    </row>
    <row r="37" spans="2:4" s="7" customFormat="1" x14ac:dyDescent="0.25">
      <c r="B37" s="40"/>
      <c r="C37" s="40"/>
    </row>
    <row r="38" spans="2:4" s="7" customFormat="1" x14ac:dyDescent="0.25">
      <c r="B38" s="21"/>
      <c r="C38" s="40"/>
    </row>
    <row r="39" spans="2:4" s="7" customFormat="1" x14ac:dyDescent="0.25">
      <c r="B39" s="40"/>
      <c r="C39" s="40"/>
    </row>
    <row r="40" spans="2:4" s="7" customFormat="1" x14ac:dyDescent="0.25">
      <c r="B40" s="40"/>
      <c r="C40" s="40"/>
    </row>
    <row r="41" spans="2:4" s="7" customFormat="1" x14ac:dyDescent="0.25">
      <c r="B41" s="40"/>
      <c r="C41" s="40"/>
    </row>
    <row r="86" spans="2:2" x14ac:dyDescent="0.25">
      <c r="B86" s="26" t="s">
        <v>48</v>
      </c>
    </row>
  </sheetData>
  <sheetProtection algorithmName="SHA-512" hashValue="pZCQXzH74iEhXUZ9/8IdsAd4/2FHDfLmWss61qZv0EtGyG6MP/tOF8B1mVMlXcEf/LJ14EbMie4wgMnTTqBouA==" saltValue="M7MsmNwHD4UhFtZo0Ih58A==" spinCount="100000" sheet="1" objects="1" scenarios="1"/>
  <mergeCells count="3">
    <mergeCell ref="E2:I3"/>
    <mergeCell ref="E5:I5"/>
    <mergeCell ref="E6:I6"/>
  </mergeCells>
  <hyperlinks>
    <hyperlink ref="D31" r:id="rId1" xr:uid="{7A532898-5FE2-42DA-90FA-C7D461372A82}"/>
    <hyperlink ref="D32" r:id="rId2" xr:uid="{2EB31E4C-202C-43D2-984C-2B083771E75E}"/>
    <hyperlink ref="K16" r:id="rId3" xr:uid="{73B4BABF-92EF-4770-B63B-A9DD0101D927}"/>
    <hyperlink ref="K28" r:id="rId4" xr:uid="{6B1A3A7A-E045-4F8B-B312-0F0B071D45BE}"/>
  </hyperlinks>
  <pageMargins left="0.7" right="0.7" top="0.75" bottom="0.75" header="0.3" footer="0.3"/>
  <pageSetup orientation="portrait" r:id="rId5"/>
  <drawing r:id="rId6"/>
  <extLst>
    <ext xmlns:x14="http://schemas.microsoft.com/office/spreadsheetml/2009/9/main" uri="{CCE6A557-97BC-4b89-ADB6-D9C93CAAB3DF}">
      <x14:dataValidations xmlns:xm="http://schemas.microsoft.com/office/excel/2006/main" count="1">
        <x14:dataValidation type="list" allowBlank="1" showInputMessage="1" showErrorMessage="1" xr:uid="{B6D76DE2-460C-4AE9-98FC-186BBD9FF33D}">
          <x14:formula1>
            <xm:f>Blad3!$C$5:$C$6</xm:f>
          </x14:formula1>
          <xm:sqref>C20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61EB2-D133-4FBA-B991-B7ECA9F84129}">
  <dimension ref="A1:AO54"/>
  <sheetViews>
    <sheetView showGridLines="0" topLeftCell="E1" zoomScale="115" zoomScaleNormal="115" workbookViewId="0">
      <pane xSplit="1" topLeftCell="F1" activePane="topRight" state="frozen"/>
      <selection activeCell="E1" sqref="E1"/>
      <selection pane="topRight" activeCell="F5" sqref="F5 B5"/>
    </sheetView>
  </sheetViews>
  <sheetFormatPr defaultRowHeight="15" x14ac:dyDescent="0.25"/>
  <cols>
    <col min="1" max="4" width="16.7109375" hidden="1" customWidth="1"/>
    <col min="5" max="13" width="16.7109375" customWidth="1"/>
    <col min="14" max="14" width="16.7109375" hidden="1" customWidth="1"/>
    <col min="15" max="15" width="8.42578125" customWidth="1"/>
    <col min="16" max="20" width="16.7109375" customWidth="1"/>
    <col min="21" max="21" width="6.42578125" style="32" customWidth="1"/>
    <col min="22" max="22" width="12.85546875" hidden="1" customWidth="1"/>
    <col min="23" max="23" width="9.140625" hidden="1" customWidth="1"/>
    <col min="24" max="24" width="12.85546875" hidden="1" customWidth="1"/>
    <col min="25" max="27" width="9.140625" hidden="1" customWidth="1"/>
    <col min="28" max="28" width="12.7109375" hidden="1" customWidth="1"/>
    <col min="29" max="29" width="9.140625" hidden="1" customWidth="1"/>
    <col min="30" max="30" width="10.140625" hidden="1" customWidth="1"/>
    <col min="31" max="33" width="9.140625" hidden="1" customWidth="1"/>
    <col min="34" max="34" width="11.85546875" hidden="1" customWidth="1"/>
    <col min="35" max="37" width="10.140625" hidden="1" customWidth="1"/>
    <col min="38" max="38" width="12.85546875" hidden="1" customWidth="1"/>
    <col min="39" max="40" width="9.140625" hidden="1" customWidth="1"/>
    <col min="41" max="42" width="9.140625" customWidth="1"/>
  </cols>
  <sheetData>
    <row r="1" spans="1:40" s="35" customFormat="1" ht="30.75" customHeight="1" x14ac:dyDescent="0.25">
      <c r="A1" s="35" t="s">
        <v>42</v>
      </c>
      <c r="B1" s="35" t="s">
        <v>43</v>
      </c>
      <c r="E1" s="36" t="s">
        <v>5</v>
      </c>
      <c r="F1" s="36" t="s">
        <v>0</v>
      </c>
      <c r="G1" s="36" t="s">
        <v>39</v>
      </c>
      <c r="H1" s="36" t="s">
        <v>40</v>
      </c>
      <c r="I1" s="36" t="s">
        <v>41</v>
      </c>
      <c r="J1" s="36" t="s">
        <v>45</v>
      </c>
      <c r="K1" s="36" t="s">
        <v>7</v>
      </c>
      <c r="L1" s="36" t="s">
        <v>13</v>
      </c>
      <c r="M1" s="36" t="s">
        <v>14</v>
      </c>
      <c r="N1" s="41" t="s">
        <v>12</v>
      </c>
      <c r="P1" s="36" t="s">
        <v>17</v>
      </c>
      <c r="Q1" s="36" t="s">
        <v>18</v>
      </c>
      <c r="R1" s="36" t="s">
        <v>52</v>
      </c>
      <c r="S1" s="36" t="s">
        <v>50</v>
      </c>
      <c r="T1" s="37" t="s">
        <v>51</v>
      </c>
      <c r="U1" s="38"/>
      <c r="V1" s="39"/>
      <c r="AH1" s="35" t="s">
        <v>8</v>
      </c>
      <c r="AI1" s="35" t="s">
        <v>9</v>
      </c>
      <c r="AJ1" s="35" t="s">
        <v>10</v>
      </c>
      <c r="AK1" s="35" t="s">
        <v>11</v>
      </c>
      <c r="AL1" s="35" t="s">
        <v>6</v>
      </c>
      <c r="AN1" s="35" t="s">
        <v>12</v>
      </c>
    </row>
    <row r="2" spans="1:40" x14ac:dyDescent="0.25">
      <c r="A2">
        <f>Invoerblad!C16</f>
        <v>30000</v>
      </c>
      <c r="B2">
        <f>Invoerblad!C17</f>
        <v>10000</v>
      </c>
      <c r="E2" s="17">
        <v>2026</v>
      </c>
      <c r="F2" s="17">
        <f>Invoerblad!C14</f>
        <v>50</v>
      </c>
      <c r="G2" s="18">
        <f>IF(F2&gt;=Invoerblad!$C$28,A2,0)</f>
        <v>0</v>
      </c>
      <c r="H2" s="18">
        <f>IF(F2&gt;=Invoerblad!$C$28,B2,0)</f>
        <v>0</v>
      </c>
      <c r="I2" s="33">
        <f>G2+H2</f>
        <v>0</v>
      </c>
      <c r="J2" s="19">
        <f>AL2</f>
        <v>0</v>
      </c>
      <c r="K2" s="34">
        <f>I2-J2</f>
        <v>0</v>
      </c>
      <c r="L2" s="18">
        <f>Invoerblad!C15</f>
        <v>60000</v>
      </c>
      <c r="M2" s="34">
        <f>K2-L2</f>
        <v>-60000</v>
      </c>
      <c r="N2" s="42">
        <f>G2+H2-J2-L2-M2</f>
        <v>0</v>
      </c>
      <c r="O2" s="3"/>
      <c r="P2" s="34">
        <f>Invoerblad!C24</f>
        <v>1232500</v>
      </c>
      <c r="Q2" s="19">
        <f>M2</f>
        <v>-60000</v>
      </c>
      <c r="R2" s="34">
        <f>MAX((P2+Q2),0)</f>
        <v>1172500</v>
      </c>
      <c r="S2" s="19">
        <f>((P2+R2)/2)*Invoerblad!$C$26</f>
        <v>48100</v>
      </c>
      <c r="T2" s="34">
        <f>MAX((R2+S2),0)</f>
        <v>1220600</v>
      </c>
      <c r="U2" s="43"/>
      <c r="V2" s="1">
        <v>38883</v>
      </c>
      <c r="W2" s="2">
        <v>0.35749999999999998</v>
      </c>
      <c r="X2" s="1">
        <v>78426</v>
      </c>
      <c r="Y2" s="2">
        <v>0.37559999999999999</v>
      </c>
      <c r="Z2" s="2">
        <v>0.495</v>
      </c>
      <c r="AB2">
        <v>38883</v>
      </c>
      <c r="AC2" s="2">
        <v>0.17799999999999999</v>
      </c>
      <c r="AD2">
        <v>78426</v>
      </c>
      <c r="AE2" s="2">
        <v>0.37559999999999999</v>
      </c>
      <c r="AF2" s="2">
        <v>0.495</v>
      </c>
      <c r="AH2" s="3">
        <f>I2</f>
        <v>0</v>
      </c>
      <c r="AI2" s="3">
        <f>MIN(AB2,AH2)</f>
        <v>0</v>
      </c>
      <c r="AJ2" s="3">
        <f>AH2-AI2-AK2</f>
        <v>0</v>
      </c>
      <c r="AK2" s="3">
        <f>MAX((AH2-AD2),0)</f>
        <v>0</v>
      </c>
      <c r="AL2" s="4">
        <f>AI2*AC2+AJ2*AE2+AK2*AF2</f>
        <v>0</v>
      </c>
      <c r="AN2" s="3">
        <f>AH2-AI2-AJ2-AK2</f>
        <v>0</v>
      </c>
    </row>
    <row r="3" spans="1:40" x14ac:dyDescent="0.25">
      <c r="A3">
        <f>A2*(1+Invoerblad!$C$29)</f>
        <v>30300</v>
      </c>
      <c r="B3">
        <f>B2*(1+Invoerblad!$C$29)</f>
        <v>10100</v>
      </c>
      <c r="E3" s="17">
        <v>2027</v>
      </c>
      <c r="F3" s="17">
        <f>F2+1</f>
        <v>51</v>
      </c>
      <c r="G3" s="18">
        <f>IF(F3&gt;=Invoerblad!$C$28,A3,0)</f>
        <v>0</v>
      </c>
      <c r="H3" s="18">
        <f>IF(F3&gt;=Invoerblad!$C$28,B3,0)</f>
        <v>0</v>
      </c>
      <c r="I3" s="33">
        <f t="shared" ref="I3:I52" si="0">G3+H3</f>
        <v>0</v>
      </c>
      <c r="J3" s="19">
        <f t="shared" ref="J3:J52" si="1">AL3</f>
        <v>0</v>
      </c>
      <c r="K3" s="34">
        <f t="shared" ref="K3:K52" si="2">I3-J3</f>
        <v>0</v>
      </c>
      <c r="L3" s="18">
        <f>L2*(1+Invoerblad!$C$27)</f>
        <v>61259.999999999993</v>
      </c>
      <c r="M3" s="34">
        <f t="shared" ref="M3:M52" si="3">K3-L3</f>
        <v>-61259.999999999993</v>
      </c>
      <c r="N3" s="42">
        <f t="shared" ref="N3:N52" si="4">G3+H3-J3-L3-M3</f>
        <v>0</v>
      </c>
      <c r="O3" s="3"/>
      <c r="P3" s="34">
        <f>T2</f>
        <v>1220600</v>
      </c>
      <c r="Q3" s="19">
        <f>M3</f>
        <v>-61259.999999999993</v>
      </c>
      <c r="R3" s="34">
        <f t="shared" ref="R3:R52" si="5">MAX((P3+Q3),0)</f>
        <v>1159340</v>
      </c>
      <c r="S3" s="19">
        <f>((P3+R3)/2)*Invoerblad!$C$26</f>
        <v>47598.8</v>
      </c>
      <c r="T3" s="34">
        <f t="shared" ref="T3:T52" si="6">MAX((R3+S3),0)</f>
        <v>1206938.8</v>
      </c>
      <c r="U3" s="44"/>
      <c r="V3" s="1">
        <f>V2*(1+Invoerblad!$C$27)</f>
        <v>39699.542999999998</v>
      </c>
      <c r="W3" s="2">
        <f>W2</f>
        <v>0.35749999999999998</v>
      </c>
      <c r="X3" s="1">
        <f>X2*(1+Invoerblad!$C$27)</f>
        <v>80072.945999999996</v>
      </c>
      <c r="Y3" s="2">
        <f>$Y$2</f>
        <v>0.37559999999999999</v>
      </c>
      <c r="Z3" s="2">
        <f>$Z$2</f>
        <v>0.495</v>
      </c>
      <c r="AB3" s="3">
        <f>V3</f>
        <v>39699.542999999998</v>
      </c>
      <c r="AC3" s="2">
        <f>AC2</f>
        <v>0.17799999999999999</v>
      </c>
      <c r="AD3" s="3">
        <f>X3</f>
        <v>80072.945999999996</v>
      </c>
      <c r="AE3" s="2">
        <f>AE2</f>
        <v>0.37559999999999999</v>
      </c>
      <c r="AF3" s="2">
        <f>AF2</f>
        <v>0.495</v>
      </c>
      <c r="AH3" s="3">
        <f t="shared" ref="AH3:AH52" si="7">I3</f>
        <v>0</v>
      </c>
      <c r="AI3" s="3">
        <f t="shared" ref="AI3:AI52" si="8">MIN(AB3,AH3)</f>
        <v>0</v>
      </c>
      <c r="AJ3" s="3">
        <f t="shared" ref="AJ3:AJ52" si="9">AH3-AI3-AK3</f>
        <v>0</v>
      </c>
      <c r="AK3" s="3">
        <f t="shared" ref="AK3:AK52" si="10">MAX((AH3-AD3),0)</f>
        <v>0</v>
      </c>
      <c r="AL3" s="4">
        <f t="shared" ref="AL3:AL52" si="11">AI3*AC3+AJ3*AE3+AK3*AF3</f>
        <v>0</v>
      </c>
      <c r="AN3" s="3">
        <f t="shared" ref="AN3:AN52" si="12">AH3-AI3-AJ3-AK3</f>
        <v>0</v>
      </c>
    </row>
    <row r="4" spans="1:40" x14ac:dyDescent="0.25">
      <c r="A4">
        <f>A3*(1+Invoerblad!$C$29)</f>
        <v>30603</v>
      </c>
      <c r="B4">
        <f>B3*(1+Invoerblad!$C$29)</f>
        <v>10201</v>
      </c>
      <c r="E4" s="17">
        <v>2028</v>
      </c>
      <c r="F4" s="17">
        <f>F3+1</f>
        <v>52</v>
      </c>
      <c r="G4" s="18">
        <f>IF(F4&gt;=Invoerblad!$C$28,A4,0)</f>
        <v>0</v>
      </c>
      <c r="H4" s="18">
        <f>IF(F4&gt;=Invoerblad!$C$28,B4,0)</f>
        <v>0</v>
      </c>
      <c r="I4" s="33">
        <f t="shared" si="0"/>
        <v>0</v>
      </c>
      <c r="J4" s="19">
        <f t="shared" si="1"/>
        <v>0</v>
      </c>
      <c r="K4" s="34">
        <f t="shared" si="2"/>
        <v>0</v>
      </c>
      <c r="L4" s="18">
        <f>L3*(1+Invoerblad!$C$27)</f>
        <v>62546.459999999985</v>
      </c>
      <c r="M4" s="34">
        <f t="shared" si="3"/>
        <v>-62546.459999999985</v>
      </c>
      <c r="N4" s="42">
        <f t="shared" si="4"/>
        <v>0</v>
      </c>
      <c r="O4" s="3"/>
      <c r="P4" s="34">
        <f t="shared" ref="P4:P52" si="13">T3</f>
        <v>1206938.8</v>
      </c>
      <c r="Q4" s="19">
        <f t="shared" ref="Q4:Q52" si="14">M4</f>
        <v>-62546.459999999985</v>
      </c>
      <c r="R4" s="34">
        <f t="shared" si="5"/>
        <v>1144392.3400000001</v>
      </c>
      <c r="S4" s="19">
        <f>((P4+R4)/2)*Invoerblad!$C$26</f>
        <v>47026.622800000005</v>
      </c>
      <c r="T4" s="34">
        <f t="shared" si="6"/>
        <v>1191418.9628000001</v>
      </c>
      <c r="V4" s="1">
        <f>V3*(1+Invoerblad!$C$27)</f>
        <v>40533.233402999991</v>
      </c>
      <c r="W4" s="2">
        <f t="shared" ref="W4:W52" si="15">W3</f>
        <v>0.35749999999999998</v>
      </c>
      <c r="X4" s="1">
        <f>X3*(1+Invoerblad!$C$27)</f>
        <v>81754.477865999987</v>
      </c>
      <c r="Y4" s="2">
        <f t="shared" ref="Y4:Y52" si="16">$Y$2</f>
        <v>0.37559999999999999</v>
      </c>
      <c r="Z4" s="2">
        <f t="shared" ref="Z4:Z52" si="17">$Z$2</f>
        <v>0.495</v>
      </c>
      <c r="AB4" s="3">
        <f t="shared" ref="AB4:AB52" si="18">V4</f>
        <v>40533.233402999991</v>
      </c>
      <c r="AC4" s="2">
        <f t="shared" ref="AC4:AC52" si="19">AC3</f>
        <v>0.17799999999999999</v>
      </c>
      <c r="AD4" s="3">
        <f t="shared" ref="AD4:AD52" si="20">X4</f>
        <v>81754.477865999987</v>
      </c>
      <c r="AE4" s="2">
        <f t="shared" ref="AE4:AE52" si="21">AE3</f>
        <v>0.37559999999999999</v>
      </c>
      <c r="AF4" s="2">
        <f t="shared" ref="AF4:AF52" si="22">AF3</f>
        <v>0.495</v>
      </c>
      <c r="AH4" s="3">
        <f t="shared" si="7"/>
        <v>0</v>
      </c>
      <c r="AI4" s="3">
        <f t="shared" si="8"/>
        <v>0</v>
      </c>
      <c r="AJ4" s="3">
        <f t="shared" si="9"/>
        <v>0</v>
      </c>
      <c r="AK4" s="3">
        <f t="shared" si="10"/>
        <v>0</v>
      </c>
      <c r="AL4" s="4">
        <f t="shared" si="11"/>
        <v>0</v>
      </c>
      <c r="AN4" s="3">
        <f t="shared" si="12"/>
        <v>0</v>
      </c>
    </row>
    <row r="5" spans="1:40" x14ac:dyDescent="0.25">
      <c r="A5">
        <f>A4*(1+Invoerblad!$C$29)</f>
        <v>30909.03</v>
      </c>
      <c r="B5">
        <f>B4*(1+Invoerblad!$C$29)</f>
        <v>10303.01</v>
      </c>
      <c r="E5" s="17">
        <v>2029</v>
      </c>
      <c r="F5" s="17">
        <f t="shared" ref="F5:F22" si="23">F4+1</f>
        <v>53</v>
      </c>
      <c r="G5" s="18">
        <f>IF(F5&gt;=Invoerblad!$C$28,A5,0)</f>
        <v>0</v>
      </c>
      <c r="H5" s="18">
        <f>IF(F5&gt;=Invoerblad!$C$28,B5,0)</f>
        <v>0</v>
      </c>
      <c r="I5" s="33">
        <f t="shared" si="0"/>
        <v>0</v>
      </c>
      <c r="J5" s="19">
        <f t="shared" si="1"/>
        <v>0</v>
      </c>
      <c r="K5" s="34">
        <f t="shared" si="2"/>
        <v>0</v>
      </c>
      <c r="L5" s="18">
        <f>L4*(1+Invoerblad!$C$27)</f>
        <v>63859.935659999981</v>
      </c>
      <c r="M5" s="34">
        <f t="shared" si="3"/>
        <v>-63859.935659999981</v>
      </c>
      <c r="N5" s="42">
        <f t="shared" si="4"/>
        <v>0</v>
      </c>
      <c r="O5" s="3"/>
      <c r="P5" s="34">
        <f t="shared" si="13"/>
        <v>1191418.9628000001</v>
      </c>
      <c r="Q5" s="19">
        <f t="shared" si="14"/>
        <v>-63859.935659999981</v>
      </c>
      <c r="R5" s="34">
        <f t="shared" si="5"/>
        <v>1127559.0271400001</v>
      </c>
      <c r="S5" s="19">
        <f>((P5+R5)/2)*Invoerblad!$C$26</f>
        <v>46379.559798800008</v>
      </c>
      <c r="T5" s="34">
        <f t="shared" si="6"/>
        <v>1173938.5869388001</v>
      </c>
      <c r="V5" s="1">
        <f>V4*(1+Invoerblad!$C$27)</f>
        <v>41384.431304462989</v>
      </c>
      <c r="W5" s="2">
        <f t="shared" si="15"/>
        <v>0.35749999999999998</v>
      </c>
      <c r="X5" s="1">
        <f>X4*(1+Invoerblad!$C$27)</f>
        <v>83471.321901185976</v>
      </c>
      <c r="Y5" s="2">
        <f t="shared" si="16"/>
        <v>0.37559999999999999</v>
      </c>
      <c r="Z5" s="2">
        <f t="shared" si="17"/>
        <v>0.495</v>
      </c>
      <c r="AB5" s="3">
        <f t="shared" si="18"/>
        <v>41384.431304462989</v>
      </c>
      <c r="AC5" s="2">
        <f t="shared" si="19"/>
        <v>0.17799999999999999</v>
      </c>
      <c r="AD5" s="3">
        <f t="shared" si="20"/>
        <v>83471.321901185976</v>
      </c>
      <c r="AE5" s="2">
        <f t="shared" si="21"/>
        <v>0.37559999999999999</v>
      </c>
      <c r="AF5" s="2">
        <f t="shared" si="22"/>
        <v>0.495</v>
      </c>
      <c r="AH5" s="3">
        <f t="shared" si="7"/>
        <v>0</v>
      </c>
      <c r="AI5" s="3">
        <f t="shared" si="8"/>
        <v>0</v>
      </c>
      <c r="AJ5" s="3">
        <f t="shared" si="9"/>
        <v>0</v>
      </c>
      <c r="AK5" s="3">
        <f t="shared" si="10"/>
        <v>0</v>
      </c>
      <c r="AL5" s="4">
        <f t="shared" si="11"/>
        <v>0</v>
      </c>
      <c r="AN5" s="3">
        <f t="shared" si="12"/>
        <v>0</v>
      </c>
    </row>
    <row r="6" spans="1:40" x14ac:dyDescent="0.25">
      <c r="A6">
        <f>A5*(1+Invoerblad!$C$29)</f>
        <v>31218.120299999999</v>
      </c>
      <c r="B6">
        <f>B5*(1+Invoerblad!$C$29)</f>
        <v>10406.0401</v>
      </c>
      <c r="E6" s="17">
        <v>2030</v>
      </c>
      <c r="F6" s="17">
        <f t="shared" si="23"/>
        <v>54</v>
      </c>
      <c r="G6" s="18">
        <f>IF(F6&gt;=Invoerblad!$C$28,A6,0)</f>
        <v>0</v>
      </c>
      <c r="H6" s="18">
        <f>IF(F6&gt;=Invoerblad!$C$28,B6,0)</f>
        <v>0</v>
      </c>
      <c r="I6" s="33">
        <f t="shared" si="0"/>
        <v>0</v>
      </c>
      <c r="J6" s="19">
        <f t="shared" si="1"/>
        <v>0</v>
      </c>
      <c r="K6" s="34">
        <f t="shared" si="2"/>
        <v>0</v>
      </c>
      <c r="L6" s="18">
        <f>L5*(1+Invoerblad!$C$27)</f>
        <v>65200.994308859976</v>
      </c>
      <c r="M6" s="34">
        <f t="shared" si="3"/>
        <v>-65200.994308859976</v>
      </c>
      <c r="N6" s="42">
        <f t="shared" si="4"/>
        <v>0</v>
      </c>
      <c r="O6" s="3"/>
      <c r="P6" s="34">
        <f t="shared" si="13"/>
        <v>1173938.5869388001</v>
      </c>
      <c r="Q6" s="19">
        <f t="shared" si="14"/>
        <v>-65200.994308859976</v>
      </c>
      <c r="R6" s="34">
        <f t="shared" si="5"/>
        <v>1108737.59262994</v>
      </c>
      <c r="S6" s="19">
        <f>((P6+R6)/2)*Invoerblad!$C$26</f>
        <v>45653.523591374804</v>
      </c>
      <c r="T6" s="34">
        <f t="shared" si="6"/>
        <v>1154391.1162213148</v>
      </c>
      <c r="V6" s="1">
        <f>V5*(1+Invoerblad!$C$27)</f>
        <v>42253.504361856707</v>
      </c>
      <c r="W6" s="2">
        <f t="shared" si="15"/>
        <v>0.35749999999999998</v>
      </c>
      <c r="X6" s="1">
        <f>X5*(1+Invoerblad!$C$27)</f>
        <v>85224.219661110881</v>
      </c>
      <c r="Y6" s="2">
        <f t="shared" si="16"/>
        <v>0.37559999999999999</v>
      </c>
      <c r="Z6" s="2">
        <f t="shared" si="17"/>
        <v>0.495</v>
      </c>
      <c r="AB6" s="3">
        <f t="shared" si="18"/>
        <v>42253.504361856707</v>
      </c>
      <c r="AC6" s="2">
        <f t="shared" si="19"/>
        <v>0.17799999999999999</v>
      </c>
      <c r="AD6" s="3">
        <f t="shared" si="20"/>
        <v>85224.219661110881</v>
      </c>
      <c r="AE6" s="2">
        <f t="shared" si="21"/>
        <v>0.37559999999999999</v>
      </c>
      <c r="AF6" s="2">
        <f t="shared" si="22"/>
        <v>0.495</v>
      </c>
      <c r="AH6" s="3">
        <f t="shared" si="7"/>
        <v>0</v>
      </c>
      <c r="AI6" s="3">
        <f t="shared" si="8"/>
        <v>0</v>
      </c>
      <c r="AJ6" s="3">
        <f t="shared" si="9"/>
        <v>0</v>
      </c>
      <c r="AK6" s="3">
        <f t="shared" si="10"/>
        <v>0</v>
      </c>
      <c r="AL6" s="4">
        <f t="shared" si="11"/>
        <v>0</v>
      </c>
      <c r="AN6" s="3">
        <f t="shared" si="12"/>
        <v>0</v>
      </c>
    </row>
    <row r="7" spans="1:40" x14ac:dyDescent="0.25">
      <c r="A7">
        <f>A6*(1+Invoerblad!$C$29)</f>
        <v>31530.301502999999</v>
      </c>
      <c r="B7">
        <f>B6*(1+Invoerblad!$C$29)</f>
        <v>10510.100501000001</v>
      </c>
      <c r="E7" s="17">
        <v>2031</v>
      </c>
      <c r="F7" s="17">
        <f t="shared" si="23"/>
        <v>55</v>
      </c>
      <c r="G7" s="18">
        <f>IF(F7&gt;=Invoerblad!$C$28,A7,0)</f>
        <v>0</v>
      </c>
      <c r="H7" s="18">
        <f>IF(F7&gt;=Invoerblad!$C$28,B7,0)</f>
        <v>0</v>
      </c>
      <c r="I7" s="33">
        <f t="shared" si="0"/>
        <v>0</v>
      </c>
      <c r="J7" s="19">
        <f t="shared" si="1"/>
        <v>0</v>
      </c>
      <c r="K7" s="34">
        <f t="shared" si="2"/>
        <v>0</v>
      </c>
      <c r="L7" s="18">
        <f>L6*(1+Invoerblad!$C$27)</f>
        <v>66570.215189346025</v>
      </c>
      <c r="M7" s="34">
        <f t="shared" si="3"/>
        <v>-66570.215189346025</v>
      </c>
      <c r="N7" s="42">
        <f t="shared" si="4"/>
        <v>0</v>
      </c>
      <c r="O7" s="3"/>
      <c r="P7" s="34">
        <f t="shared" si="13"/>
        <v>1154391.1162213148</v>
      </c>
      <c r="Q7" s="19">
        <f t="shared" si="14"/>
        <v>-66570.215189346025</v>
      </c>
      <c r="R7" s="34">
        <f t="shared" si="5"/>
        <v>1087820.9010319686</v>
      </c>
      <c r="S7" s="19">
        <f>((P7+R7)/2)*Invoerblad!$C$26</f>
        <v>44844.240345065671</v>
      </c>
      <c r="T7" s="34">
        <f t="shared" si="6"/>
        <v>1132665.1413770344</v>
      </c>
      <c r="V7" s="1">
        <f>V6*(1+Invoerblad!$C$27)</f>
        <v>43140.827953455693</v>
      </c>
      <c r="W7" s="2">
        <f t="shared" si="15"/>
        <v>0.35749999999999998</v>
      </c>
      <c r="X7" s="1">
        <f>X6*(1+Invoerblad!$C$27)</f>
        <v>87013.928273994199</v>
      </c>
      <c r="Y7" s="2">
        <f t="shared" si="16"/>
        <v>0.37559999999999999</v>
      </c>
      <c r="Z7" s="2">
        <f t="shared" si="17"/>
        <v>0.495</v>
      </c>
      <c r="AB7" s="3">
        <f t="shared" si="18"/>
        <v>43140.827953455693</v>
      </c>
      <c r="AC7" s="2">
        <f t="shared" si="19"/>
        <v>0.17799999999999999</v>
      </c>
      <c r="AD7" s="3">
        <f t="shared" si="20"/>
        <v>87013.928273994199</v>
      </c>
      <c r="AE7" s="2">
        <f t="shared" si="21"/>
        <v>0.37559999999999999</v>
      </c>
      <c r="AF7" s="2">
        <f t="shared" si="22"/>
        <v>0.495</v>
      </c>
      <c r="AH7" s="3">
        <f t="shared" si="7"/>
        <v>0</v>
      </c>
      <c r="AI7" s="3">
        <f t="shared" si="8"/>
        <v>0</v>
      </c>
      <c r="AJ7" s="3">
        <f t="shared" si="9"/>
        <v>0</v>
      </c>
      <c r="AK7" s="3">
        <f t="shared" si="10"/>
        <v>0</v>
      </c>
      <c r="AL7" s="4">
        <f t="shared" si="11"/>
        <v>0</v>
      </c>
      <c r="AN7" s="3">
        <f t="shared" si="12"/>
        <v>0</v>
      </c>
    </row>
    <row r="8" spans="1:40" x14ac:dyDescent="0.25">
      <c r="A8">
        <f>A7*(1+Invoerblad!$C$29)</f>
        <v>31845.604518029999</v>
      </c>
      <c r="B8">
        <f>B7*(1+Invoerblad!$C$29)</f>
        <v>10615.20150601</v>
      </c>
      <c r="E8" s="17">
        <v>2032</v>
      </c>
      <c r="F8" s="17">
        <f t="shared" si="23"/>
        <v>56</v>
      </c>
      <c r="G8" s="18">
        <f>IF(F8&gt;=Invoerblad!$C$28,A8,0)</f>
        <v>0</v>
      </c>
      <c r="H8" s="18">
        <f>IF(F8&gt;=Invoerblad!$C$28,B8,0)</f>
        <v>0</v>
      </c>
      <c r="I8" s="33">
        <f t="shared" si="0"/>
        <v>0</v>
      </c>
      <c r="J8" s="19">
        <f t="shared" si="1"/>
        <v>0</v>
      </c>
      <c r="K8" s="34">
        <f t="shared" si="2"/>
        <v>0</v>
      </c>
      <c r="L8" s="18">
        <f>L7*(1+Invoerblad!$C$27)</f>
        <v>67968.189708322287</v>
      </c>
      <c r="M8" s="34">
        <f t="shared" si="3"/>
        <v>-67968.189708322287</v>
      </c>
      <c r="N8" s="42">
        <f t="shared" si="4"/>
        <v>0</v>
      </c>
      <c r="O8" s="3"/>
      <c r="P8" s="34">
        <f t="shared" si="13"/>
        <v>1132665.1413770344</v>
      </c>
      <c r="Q8" s="19">
        <f t="shared" si="14"/>
        <v>-67968.189708322287</v>
      </c>
      <c r="R8" s="34">
        <f t="shared" si="5"/>
        <v>1064696.9516687121</v>
      </c>
      <c r="S8" s="19">
        <f>((P8+R8)/2)*Invoerblad!$C$26</f>
        <v>43947.241860914932</v>
      </c>
      <c r="T8" s="34">
        <f t="shared" si="6"/>
        <v>1108644.1935296271</v>
      </c>
      <c r="V8" s="1">
        <f>V7*(1+Invoerblad!$C$27)</f>
        <v>44046.785340478258</v>
      </c>
      <c r="W8" s="2">
        <f t="shared" si="15"/>
        <v>0.35749999999999998</v>
      </c>
      <c r="X8" s="1">
        <f>X7*(1+Invoerblad!$C$27)</f>
        <v>88841.220767748076</v>
      </c>
      <c r="Y8" s="2">
        <f t="shared" si="16"/>
        <v>0.37559999999999999</v>
      </c>
      <c r="Z8" s="2">
        <f t="shared" si="17"/>
        <v>0.495</v>
      </c>
      <c r="AB8" s="3">
        <f t="shared" si="18"/>
        <v>44046.785340478258</v>
      </c>
      <c r="AC8" s="2">
        <f t="shared" si="19"/>
        <v>0.17799999999999999</v>
      </c>
      <c r="AD8" s="3">
        <f t="shared" si="20"/>
        <v>88841.220767748076</v>
      </c>
      <c r="AE8" s="2">
        <f t="shared" si="21"/>
        <v>0.37559999999999999</v>
      </c>
      <c r="AF8" s="2">
        <f t="shared" si="22"/>
        <v>0.495</v>
      </c>
      <c r="AH8" s="3">
        <f t="shared" si="7"/>
        <v>0</v>
      </c>
      <c r="AI8" s="3">
        <f t="shared" si="8"/>
        <v>0</v>
      </c>
      <c r="AJ8" s="3">
        <f t="shared" si="9"/>
        <v>0</v>
      </c>
      <c r="AK8" s="3">
        <f t="shared" si="10"/>
        <v>0</v>
      </c>
      <c r="AL8" s="4">
        <f t="shared" si="11"/>
        <v>0</v>
      </c>
      <c r="AN8" s="3">
        <f t="shared" si="12"/>
        <v>0</v>
      </c>
    </row>
    <row r="9" spans="1:40" x14ac:dyDescent="0.25">
      <c r="A9">
        <f>A8*(1+Invoerblad!$C$29)</f>
        <v>32164.0605632103</v>
      </c>
      <c r="B9">
        <f>B8*(1+Invoerblad!$C$29)</f>
        <v>10721.353521070101</v>
      </c>
      <c r="E9" s="17">
        <v>2033</v>
      </c>
      <c r="F9" s="17">
        <f t="shared" si="23"/>
        <v>57</v>
      </c>
      <c r="G9" s="18">
        <f>IF(F9&gt;=Invoerblad!$C$28,A9,0)</f>
        <v>0</v>
      </c>
      <c r="H9" s="18">
        <f>IF(F9&gt;=Invoerblad!$C$28,B9,0)</f>
        <v>0</v>
      </c>
      <c r="I9" s="33">
        <f t="shared" si="0"/>
        <v>0</v>
      </c>
      <c r="J9" s="19">
        <f t="shared" si="1"/>
        <v>0</v>
      </c>
      <c r="K9" s="34">
        <f t="shared" si="2"/>
        <v>0</v>
      </c>
      <c r="L9" s="18">
        <f>L8*(1+Invoerblad!$C$27)</f>
        <v>69395.521692197042</v>
      </c>
      <c r="M9" s="34">
        <f t="shared" si="3"/>
        <v>-69395.521692197042</v>
      </c>
      <c r="N9" s="42">
        <f t="shared" si="4"/>
        <v>0</v>
      </c>
      <c r="O9" s="3"/>
      <c r="P9" s="34">
        <f t="shared" si="13"/>
        <v>1108644.1935296271</v>
      </c>
      <c r="Q9" s="19">
        <f t="shared" si="14"/>
        <v>-69395.521692197042</v>
      </c>
      <c r="R9" s="34">
        <f t="shared" si="5"/>
        <v>1039248.67183743</v>
      </c>
      <c r="S9" s="19">
        <f>((P9+R9)/2)*Invoerblad!$C$26</f>
        <v>42957.857307341139</v>
      </c>
      <c r="T9" s="34">
        <f t="shared" si="6"/>
        <v>1082206.5291447712</v>
      </c>
      <c r="V9" s="1">
        <f>V8*(1+Invoerblad!$C$27)</f>
        <v>44971.767832628298</v>
      </c>
      <c r="W9" s="2">
        <f t="shared" si="15"/>
        <v>0.35749999999999998</v>
      </c>
      <c r="X9" s="1">
        <f>X8*(1+Invoerblad!$C$27)</f>
        <v>90706.886403870783</v>
      </c>
      <c r="Y9" s="2">
        <f t="shared" si="16"/>
        <v>0.37559999999999999</v>
      </c>
      <c r="Z9" s="2">
        <f t="shared" si="17"/>
        <v>0.495</v>
      </c>
      <c r="AB9" s="3">
        <f t="shared" si="18"/>
        <v>44971.767832628298</v>
      </c>
      <c r="AC9" s="2">
        <f t="shared" si="19"/>
        <v>0.17799999999999999</v>
      </c>
      <c r="AD9" s="3">
        <f t="shared" si="20"/>
        <v>90706.886403870783</v>
      </c>
      <c r="AE9" s="2">
        <f t="shared" si="21"/>
        <v>0.37559999999999999</v>
      </c>
      <c r="AF9" s="2">
        <f t="shared" si="22"/>
        <v>0.495</v>
      </c>
      <c r="AH9" s="3">
        <f t="shared" si="7"/>
        <v>0</v>
      </c>
      <c r="AI9" s="3">
        <f t="shared" si="8"/>
        <v>0</v>
      </c>
      <c r="AJ9" s="3">
        <f t="shared" si="9"/>
        <v>0</v>
      </c>
      <c r="AK9" s="3">
        <f t="shared" si="10"/>
        <v>0</v>
      </c>
      <c r="AL9" s="4">
        <f t="shared" si="11"/>
        <v>0</v>
      </c>
      <c r="AN9" s="3">
        <f t="shared" si="12"/>
        <v>0</v>
      </c>
    </row>
    <row r="10" spans="1:40" x14ac:dyDescent="0.25">
      <c r="A10">
        <f>A9*(1+Invoerblad!$C$29)</f>
        <v>32485.701168842403</v>
      </c>
      <c r="B10">
        <f>B9*(1+Invoerblad!$C$29)</f>
        <v>10828.567056280803</v>
      </c>
      <c r="E10" s="17">
        <v>2034</v>
      </c>
      <c r="F10" s="17">
        <f t="shared" si="23"/>
        <v>58</v>
      </c>
      <c r="G10" s="18">
        <f>IF(F10&gt;=Invoerblad!$C$28,A10,0)</f>
        <v>0</v>
      </c>
      <c r="H10" s="18">
        <f>IF(F10&gt;=Invoerblad!$C$28,B10,0)</f>
        <v>0</v>
      </c>
      <c r="I10" s="33">
        <f t="shared" si="0"/>
        <v>0</v>
      </c>
      <c r="J10" s="19">
        <f t="shared" si="1"/>
        <v>0</v>
      </c>
      <c r="K10" s="34">
        <f t="shared" si="2"/>
        <v>0</v>
      </c>
      <c r="L10" s="18">
        <f>L9*(1+Invoerblad!$C$27)</f>
        <v>70852.827647733167</v>
      </c>
      <c r="M10" s="34">
        <f t="shared" si="3"/>
        <v>-70852.827647733167</v>
      </c>
      <c r="N10" s="42">
        <f t="shared" si="4"/>
        <v>0</v>
      </c>
      <c r="O10" s="3"/>
      <c r="P10" s="34">
        <f t="shared" si="13"/>
        <v>1082206.5291447712</v>
      </c>
      <c r="Q10" s="19">
        <f t="shared" si="14"/>
        <v>-70852.827647733167</v>
      </c>
      <c r="R10" s="34">
        <f t="shared" si="5"/>
        <v>1011353.701497038</v>
      </c>
      <c r="S10" s="19">
        <f>((P10+R10)/2)*Invoerblad!$C$26</f>
        <v>41871.204612836184</v>
      </c>
      <c r="T10" s="34">
        <f t="shared" si="6"/>
        <v>1053224.9061098741</v>
      </c>
      <c r="V10" s="1">
        <f>V9*(1+Invoerblad!$C$27)</f>
        <v>45916.174957113486</v>
      </c>
      <c r="W10" s="2">
        <f t="shared" si="15"/>
        <v>0.35749999999999998</v>
      </c>
      <c r="X10" s="1">
        <f>X9*(1+Invoerblad!$C$27)</f>
        <v>92611.73101835206</v>
      </c>
      <c r="Y10" s="2">
        <f t="shared" si="16"/>
        <v>0.37559999999999999</v>
      </c>
      <c r="Z10" s="2">
        <f t="shared" si="17"/>
        <v>0.495</v>
      </c>
      <c r="AB10" s="3">
        <f t="shared" si="18"/>
        <v>45916.174957113486</v>
      </c>
      <c r="AC10" s="2">
        <f t="shared" si="19"/>
        <v>0.17799999999999999</v>
      </c>
      <c r="AD10" s="3">
        <f t="shared" si="20"/>
        <v>92611.73101835206</v>
      </c>
      <c r="AE10" s="2">
        <f t="shared" si="21"/>
        <v>0.37559999999999999</v>
      </c>
      <c r="AF10" s="2">
        <f t="shared" si="22"/>
        <v>0.495</v>
      </c>
      <c r="AH10" s="3">
        <f t="shared" si="7"/>
        <v>0</v>
      </c>
      <c r="AI10" s="3">
        <f t="shared" si="8"/>
        <v>0</v>
      </c>
      <c r="AJ10" s="3">
        <f t="shared" si="9"/>
        <v>0</v>
      </c>
      <c r="AK10" s="3">
        <f t="shared" si="10"/>
        <v>0</v>
      </c>
      <c r="AL10" s="4">
        <f t="shared" si="11"/>
        <v>0</v>
      </c>
      <c r="AN10" s="3">
        <f t="shared" si="12"/>
        <v>0</v>
      </c>
    </row>
    <row r="11" spans="1:40" x14ac:dyDescent="0.25">
      <c r="A11">
        <f>A10*(1+Invoerblad!$C$29)</f>
        <v>32810.558180530825</v>
      </c>
      <c r="B11">
        <f>B10*(1+Invoerblad!$C$29)</f>
        <v>10936.85272684361</v>
      </c>
      <c r="E11" s="17">
        <v>2035</v>
      </c>
      <c r="F11" s="17">
        <f t="shared" si="23"/>
        <v>59</v>
      </c>
      <c r="G11" s="18">
        <f>IF(F11&gt;=Invoerblad!$C$28,A11,0)</f>
        <v>0</v>
      </c>
      <c r="H11" s="18">
        <f>IF(F11&gt;=Invoerblad!$C$28,B11,0)</f>
        <v>0</v>
      </c>
      <c r="I11" s="33">
        <f t="shared" si="0"/>
        <v>0</v>
      </c>
      <c r="J11" s="19">
        <f t="shared" si="1"/>
        <v>0</v>
      </c>
      <c r="K11" s="34">
        <f t="shared" si="2"/>
        <v>0</v>
      </c>
      <c r="L11" s="18">
        <f>L10*(1+Invoerblad!$C$27)</f>
        <v>72340.737028335556</v>
      </c>
      <c r="M11" s="34">
        <f t="shared" si="3"/>
        <v>-72340.737028335556</v>
      </c>
      <c r="N11" s="42">
        <f t="shared" si="4"/>
        <v>0</v>
      </c>
      <c r="O11" s="3"/>
      <c r="P11" s="34">
        <f t="shared" si="13"/>
        <v>1053224.9061098741</v>
      </c>
      <c r="Q11" s="19">
        <f t="shared" si="14"/>
        <v>-72340.737028335556</v>
      </c>
      <c r="R11" s="34">
        <f t="shared" si="5"/>
        <v>980884.16908153857</v>
      </c>
      <c r="S11" s="19">
        <f>((P11+R11)/2)*Invoerblad!$C$26</f>
        <v>40682.181503828251</v>
      </c>
      <c r="T11" s="34">
        <f t="shared" si="6"/>
        <v>1021566.3505853668</v>
      </c>
      <c r="V11" s="1">
        <f>V10*(1+Invoerblad!$C$27)</f>
        <v>46880.414631212865</v>
      </c>
      <c r="W11" s="2">
        <f t="shared" si="15"/>
        <v>0.35749999999999998</v>
      </c>
      <c r="X11" s="1">
        <f>X10*(1+Invoerblad!$C$27)</f>
        <v>94556.577369737439</v>
      </c>
      <c r="Y11" s="2">
        <f t="shared" si="16"/>
        <v>0.37559999999999999</v>
      </c>
      <c r="Z11" s="2">
        <f t="shared" si="17"/>
        <v>0.495</v>
      </c>
      <c r="AB11" s="3">
        <f t="shared" si="18"/>
        <v>46880.414631212865</v>
      </c>
      <c r="AC11" s="2">
        <f t="shared" si="19"/>
        <v>0.17799999999999999</v>
      </c>
      <c r="AD11" s="3">
        <f t="shared" si="20"/>
        <v>94556.577369737439</v>
      </c>
      <c r="AE11" s="2">
        <f t="shared" si="21"/>
        <v>0.37559999999999999</v>
      </c>
      <c r="AF11" s="2">
        <f t="shared" si="22"/>
        <v>0.495</v>
      </c>
      <c r="AH11" s="3">
        <f t="shared" si="7"/>
        <v>0</v>
      </c>
      <c r="AI11" s="3">
        <f t="shared" si="8"/>
        <v>0</v>
      </c>
      <c r="AJ11" s="3">
        <f t="shared" si="9"/>
        <v>0</v>
      </c>
      <c r="AK11" s="3">
        <f t="shared" si="10"/>
        <v>0</v>
      </c>
      <c r="AL11" s="4">
        <f t="shared" si="11"/>
        <v>0</v>
      </c>
      <c r="AN11" s="3">
        <f t="shared" si="12"/>
        <v>0</v>
      </c>
    </row>
    <row r="12" spans="1:40" x14ac:dyDescent="0.25">
      <c r="A12">
        <f>A11*(1+Invoerblad!$C$29)</f>
        <v>33138.663762336131</v>
      </c>
      <c r="B12">
        <f>B11*(1+Invoerblad!$C$29)</f>
        <v>11046.221254112046</v>
      </c>
      <c r="E12" s="17">
        <v>2036</v>
      </c>
      <c r="F12" s="17">
        <f t="shared" si="23"/>
        <v>60</v>
      </c>
      <c r="G12" s="18">
        <f>IF(F12&gt;=Invoerblad!$C$28,A12,0)</f>
        <v>0</v>
      </c>
      <c r="H12" s="18">
        <f>IF(F12&gt;=Invoerblad!$C$28,B12,0)</f>
        <v>0</v>
      </c>
      <c r="I12" s="33">
        <f t="shared" si="0"/>
        <v>0</v>
      </c>
      <c r="J12" s="19">
        <f t="shared" si="1"/>
        <v>0</v>
      </c>
      <c r="K12" s="34">
        <f t="shared" si="2"/>
        <v>0</v>
      </c>
      <c r="L12" s="18">
        <f>L11*(1+Invoerblad!$C$27)</f>
        <v>73859.892505930591</v>
      </c>
      <c r="M12" s="34">
        <f t="shared" si="3"/>
        <v>-73859.892505930591</v>
      </c>
      <c r="N12" s="42">
        <f t="shared" si="4"/>
        <v>0</v>
      </c>
      <c r="O12" s="3"/>
      <c r="P12" s="34">
        <f t="shared" si="13"/>
        <v>1021566.3505853668</v>
      </c>
      <c r="Q12" s="19">
        <f t="shared" si="14"/>
        <v>-73859.892505930591</v>
      </c>
      <c r="R12" s="34">
        <f t="shared" si="5"/>
        <v>947706.45807943621</v>
      </c>
      <c r="S12" s="19">
        <f>((P12+R12)/2)*Invoerblad!$C$26</f>
        <v>39385.456173296057</v>
      </c>
      <c r="T12" s="34">
        <f t="shared" si="6"/>
        <v>987091.9142527323</v>
      </c>
      <c r="V12" s="1">
        <f>V11*(1+Invoerblad!$C$27)</f>
        <v>47864.903338468328</v>
      </c>
      <c r="W12" s="2">
        <f t="shared" si="15"/>
        <v>0.35749999999999998</v>
      </c>
      <c r="X12" s="1">
        <f>X11*(1+Invoerblad!$C$27)</f>
        <v>96542.265494501917</v>
      </c>
      <c r="Y12" s="2">
        <f t="shared" si="16"/>
        <v>0.37559999999999999</v>
      </c>
      <c r="Z12" s="2">
        <f t="shared" si="17"/>
        <v>0.495</v>
      </c>
      <c r="AB12" s="3">
        <f t="shared" si="18"/>
        <v>47864.903338468328</v>
      </c>
      <c r="AC12" s="2">
        <f t="shared" si="19"/>
        <v>0.17799999999999999</v>
      </c>
      <c r="AD12" s="3">
        <f t="shared" si="20"/>
        <v>96542.265494501917</v>
      </c>
      <c r="AE12" s="2">
        <f t="shared" si="21"/>
        <v>0.37559999999999999</v>
      </c>
      <c r="AF12" s="2">
        <f t="shared" si="22"/>
        <v>0.495</v>
      </c>
      <c r="AH12" s="3">
        <f t="shared" si="7"/>
        <v>0</v>
      </c>
      <c r="AI12" s="3">
        <f t="shared" si="8"/>
        <v>0</v>
      </c>
      <c r="AJ12" s="3">
        <f t="shared" si="9"/>
        <v>0</v>
      </c>
      <c r="AK12" s="3">
        <f t="shared" si="10"/>
        <v>0</v>
      </c>
      <c r="AL12" s="4">
        <f t="shared" si="11"/>
        <v>0</v>
      </c>
      <c r="AN12" s="3">
        <f t="shared" si="12"/>
        <v>0</v>
      </c>
    </row>
    <row r="13" spans="1:40" x14ac:dyDescent="0.25">
      <c r="A13">
        <f>A12*(1+Invoerblad!$C$29)</f>
        <v>33470.050399959495</v>
      </c>
      <c r="B13">
        <f>B12*(1+Invoerblad!$C$29)</f>
        <v>11156.683466653167</v>
      </c>
      <c r="E13" s="17">
        <v>2037</v>
      </c>
      <c r="F13" s="17">
        <f t="shared" si="23"/>
        <v>61</v>
      </c>
      <c r="G13" s="18">
        <f>IF(F13&gt;=Invoerblad!$C$28,A13,0)</f>
        <v>0</v>
      </c>
      <c r="H13" s="18">
        <f>IF(F13&gt;=Invoerblad!$C$28,B13,0)</f>
        <v>0</v>
      </c>
      <c r="I13" s="33">
        <f t="shared" si="0"/>
        <v>0</v>
      </c>
      <c r="J13" s="19">
        <f t="shared" si="1"/>
        <v>0</v>
      </c>
      <c r="K13" s="34">
        <f t="shared" si="2"/>
        <v>0</v>
      </c>
      <c r="L13" s="18">
        <f>L12*(1+Invoerblad!$C$27)</f>
        <v>75410.95024855512</v>
      </c>
      <c r="M13" s="34">
        <f t="shared" si="3"/>
        <v>-75410.95024855512</v>
      </c>
      <c r="N13" s="42">
        <f t="shared" si="4"/>
        <v>0</v>
      </c>
      <c r="O13" s="3"/>
      <c r="P13" s="34">
        <f t="shared" si="13"/>
        <v>987091.9142527323</v>
      </c>
      <c r="Q13" s="19">
        <f t="shared" si="14"/>
        <v>-75410.95024855512</v>
      </c>
      <c r="R13" s="34">
        <f t="shared" si="5"/>
        <v>911680.96400417713</v>
      </c>
      <c r="S13" s="19">
        <f>((P13+R13)/2)*Invoerblad!$C$26</f>
        <v>37975.457565138189</v>
      </c>
      <c r="T13" s="34">
        <f t="shared" si="6"/>
        <v>949656.42156931537</v>
      </c>
      <c r="V13" s="1">
        <f>V12*(1+Invoerblad!$C$27)</f>
        <v>48870.066308576155</v>
      </c>
      <c r="W13" s="2">
        <f t="shared" si="15"/>
        <v>0.35749999999999998</v>
      </c>
      <c r="X13" s="1">
        <f>X12*(1+Invoerblad!$C$27)</f>
        <v>98569.653069886452</v>
      </c>
      <c r="Y13" s="2">
        <f t="shared" si="16"/>
        <v>0.37559999999999999</v>
      </c>
      <c r="Z13" s="2">
        <f t="shared" si="17"/>
        <v>0.495</v>
      </c>
      <c r="AB13" s="3">
        <f t="shared" si="18"/>
        <v>48870.066308576155</v>
      </c>
      <c r="AC13" s="2">
        <f t="shared" si="19"/>
        <v>0.17799999999999999</v>
      </c>
      <c r="AD13" s="3">
        <f t="shared" si="20"/>
        <v>98569.653069886452</v>
      </c>
      <c r="AE13" s="2">
        <f t="shared" si="21"/>
        <v>0.37559999999999999</v>
      </c>
      <c r="AF13" s="2">
        <f t="shared" si="22"/>
        <v>0.495</v>
      </c>
      <c r="AH13" s="3">
        <f t="shared" si="7"/>
        <v>0</v>
      </c>
      <c r="AI13" s="3">
        <f t="shared" si="8"/>
        <v>0</v>
      </c>
      <c r="AJ13" s="3">
        <f t="shared" si="9"/>
        <v>0</v>
      </c>
      <c r="AK13" s="3">
        <f t="shared" si="10"/>
        <v>0</v>
      </c>
      <c r="AL13" s="4">
        <f t="shared" si="11"/>
        <v>0</v>
      </c>
      <c r="AN13" s="3">
        <f t="shared" si="12"/>
        <v>0</v>
      </c>
    </row>
    <row r="14" spans="1:40" x14ac:dyDescent="0.25">
      <c r="A14">
        <f>A13*(1+Invoerblad!$C$29)</f>
        <v>33804.750903959088</v>
      </c>
      <c r="B14">
        <f>B13*(1+Invoerblad!$C$29)</f>
        <v>11268.250301319698</v>
      </c>
      <c r="E14" s="17">
        <v>2038</v>
      </c>
      <c r="F14" s="17">
        <f t="shared" si="23"/>
        <v>62</v>
      </c>
      <c r="G14" s="18">
        <f>IF(F14&gt;=Invoerblad!$C$28,A14,0)</f>
        <v>0</v>
      </c>
      <c r="H14" s="18">
        <f>IF(F14&gt;=Invoerblad!$C$28,B14,0)</f>
        <v>0</v>
      </c>
      <c r="I14" s="33">
        <f t="shared" si="0"/>
        <v>0</v>
      </c>
      <c r="J14" s="19">
        <f t="shared" si="1"/>
        <v>0</v>
      </c>
      <c r="K14" s="34">
        <f t="shared" si="2"/>
        <v>0</v>
      </c>
      <c r="L14" s="18">
        <f>L13*(1+Invoerblad!$C$27)</f>
        <v>76994.580203774764</v>
      </c>
      <c r="M14" s="34">
        <f t="shared" si="3"/>
        <v>-76994.580203774764</v>
      </c>
      <c r="N14" s="42">
        <f t="shared" si="4"/>
        <v>0</v>
      </c>
      <c r="O14" s="3"/>
      <c r="P14" s="34">
        <f t="shared" si="13"/>
        <v>949656.42156931537</v>
      </c>
      <c r="Q14" s="19">
        <f t="shared" si="14"/>
        <v>-76994.580203774764</v>
      </c>
      <c r="R14" s="34">
        <f t="shared" si="5"/>
        <v>872661.84136554063</v>
      </c>
      <c r="S14" s="19">
        <f>((P14+R14)/2)*Invoerblad!$C$26</f>
        <v>36446.365258697122</v>
      </c>
      <c r="T14" s="34">
        <f t="shared" si="6"/>
        <v>909108.2066242377</v>
      </c>
      <c r="V14" s="1">
        <f>V13*(1+Invoerblad!$C$27)</f>
        <v>49896.337701056247</v>
      </c>
      <c r="W14" s="2">
        <f t="shared" si="15"/>
        <v>0.35749999999999998</v>
      </c>
      <c r="X14" s="1">
        <f>X13*(1+Invoerblad!$C$27)</f>
        <v>100639.61578435406</v>
      </c>
      <c r="Y14" s="2">
        <f t="shared" si="16"/>
        <v>0.37559999999999999</v>
      </c>
      <c r="Z14" s="2">
        <f t="shared" si="17"/>
        <v>0.495</v>
      </c>
      <c r="AB14" s="3">
        <f t="shared" si="18"/>
        <v>49896.337701056247</v>
      </c>
      <c r="AC14" s="2">
        <f t="shared" si="19"/>
        <v>0.17799999999999999</v>
      </c>
      <c r="AD14" s="3">
        <f t="shared" si="20"/>
        <v>100639.61578435406</v>
      </c>
      <c r="AE14" s="2">
        <f t="shared" si="21"/>
        <v>0.37559999999999999</v>
      </c>
      <c r="AF14" s="2">
        <f t="shared" si="22"/>
        <v>0.495</v>
      </c>
      <c r="AH14" s="3">
        <f t="shared" si="7"/>
        <v>0</v>
      </c>
      <c r="AI14" s="3">
        <f t="shared" si="8"/>
        <v>0</v>
      </c>
      <c r="AJ14" s="3">
        <f t="shared" si="9"/>
        <v>0</v>
      </c>
      <c r="AK14" s="3">
        <f t="shared" si="10"/>
        <v>0</v>
      </c>
      <c r="AL14" s="4">
        <f t="shared" si="11"/>
        <v>0</v>
      </c>
      <c r="AN14" s="3">
        <f t="shared" si="12"/>
        <v>0</v>
      </c>
    </row>
    <row r="15" spans="1:40" x14ac:dyDescent="0.25">
      <c r="A15">
        <f>A14*(1+Invoerblad!$C$29)</f>
        <v>34142.79841299868</v>
      </c>
      <c r="B15">
        <f>B14*(1+Invoerblad!$C$29)</f>
        <v>11380.932804332895</v>
      </c>
      <c r="E15" s="17">
        <v>2039</v>
      </c>
      <c r="F15" s="17">
        <f t="shared" si="23"/>
        <v>63</v>
      </c>
      <c r="G15" s="18">
        <f>IF(F15&gt;=Invoerblad!$C$28,A15,0)</f>
        <v>0</v>
      </c>
      <c r="H15" s="18">
        <f>IF(F15&gt;=Invoerblad!$C$28,B15,0)</f>
        <v>0</v>
      </c>
      <c r="I15" s="33">
        <f t="shared" si="0"/>
        <v>0</v>
      </c>
      <c r="J15" s="19">
        <f t="shared" si="1"/>
        <v>0</v>
      </c>
      <c r="K15" s="34">
        <f t="shared" si="2"/>
        <v>0</v>
      </c>
      <c r="L15" s="18">
        <f>L14*(1+Invoerblad!$C$27)</f>
        <v>78611.466388054032</v>
      </c>
      <c r="M15" s="34">
        <f t="shared" si="3"/>
        <v>-78611.466388054032</v>
      </c>
      <c r="N15" s="42">
        <f t="shared" si="4"/>
        <v>0</v>
      </c>
      <c r="O15" s="3"/>
      <c r="P15" s="34">
        <f t="shared" si="13"/>
        <v>909108.2066242377</v>
      </c>
      <c r="Q15" s="19">
        <f t="shared" si="14"/>
        <v>-78611.466388054032</v>
      </c>
      <c r="R15" s="34">
        <f t="shared" si="5"/>
        <v>830496.74023618363</v>
      </c>
      <c r="S15" s="19">
        <f>((P15+R15)/2)*Invoerblad!$C$26</f>
        <v>34792.09893720843</v>
      </c>
      <c r="T15" s="34">
        <f t="shared" si="6"/>
        <v>865288.83917339204</v>
      </c>
      <c r="V15" s="1">
        <f>V14*(1+Invoerblad!$C$27)</f>
        <v>50944.160792778421</v>
      </c>
      <c r="W15" s="2">
        <f t="shared" si="15"/>
        <v>0.35749999999999998</v>
      </c>
      <c r="X15" s="1">
        <f>X14*(1+Invoerblad!$C$27)</f>
        <v>102753.04771582548</v>
      </c>
      <c r="Y15" s="2">
        <f t="shared" si="16"/>
        <v>0.37559999999999999</v>
      </c>
      <c r="Z15" s="2">
        <f t="shared" si="17"/>
        <v>0.495</v>
      </c>
      <c r="AB15" s="3">
        <f t="shared" si="18"/>
        <v>50944.160792778421</v>
      </c>
      <c r="AC15" s="2">
        <f t="shared" si="19"/>
        <v>0.17799999999999999</v>
      </c>
      <c r="AD15" s="3">
        <f t="shared" si="20"/>
        <v>102753.04771582548</v>
      </c>
      <c r="AE15" s="2">
        <f t="shared" si="21"/>
        <v>0.37559999999999999</v>
      </c>
      <c r="AF15" s="2">
        <f t="shared" si="22"/>
        <v>0.495</v>
      </c>
      <c r="AH15" s="3">
        <f t="shared" si="7"/>
        <v>0</v>
      </c>
      <c r="AI15" s="3">
        <f t="shared" si="8"/>
        <v>0</v>
      </c>
      <c r="AJ15" s="3">
        <f t="shared" si="9"/>
        <v>0</v>
      </c>
      <c r="AK15" s="3">
        <f t="shared" si="10"/>
        <v>0</v>
      </c>
      <c r="AL15" s="4">
        <f t="shared" si="11"/>
        <v>0</v>
      </c>
      <c r="AN15" s="3">
        <f t="shared" si="12"/>
        <v>0</v>
      </c>
    </row>
    <row r="16" spans="1:40" x14ac:dyDescent="0.25">
      <c r="A16">
        <f>A15*(1+Invoerblad!$C$29)</f>
        <v>34484.226397128667</v>
      </c>
      <c r="B16">
        <f>B15*(1+Invoerblad!$C$29)</f>
        <v>11494.742132376225</v>
      </c>
      <c r="E16" s="17">
        <v>2040</v>
      </c>
      <c r="F16" s="17">
        <f t="shared" si="23"/>
        <v>64</v>
      </c>
      <c r="G16" s="18">
        <f>IF(F16&gt;=Invoerblad!$C$28,A16,0)</f>
        <v>0</v>
      </c>
      <c r="H16" s="18">
        <f>IF(F16&gt;=Invoerblad!$C$28,B16,0)</f>
        <v>0</v>
      </c>
      <c r="I16" s="33">
        <f t="shared" si="0"/>
        <v>0</v>
      </c>
      <c r="J16" s="19">
        <f t="shared" si="1"/>
        <v>0</v>
      </c>
      <c r="K16" s="34">
        <f t="shared" si="2"/>
        <v>0</v>
      </c>
      <c r="L16" s="18">
        <f>L15*(1+Invoerblad!$C$27)</f>
        <v>80262.307182203163</v>
      </c>
      <c r="M16" s="34">
        <f t="shared" si="3"/>
        <v>-80262.307182203163</v>
      </c>
      <c r="N16" s="42">
        <f t="shared" si="4"/>
        <v>0</v>
      </c>
      <c r="O16" s="3"/>
      <c r="P16" s="34">
        <f t="shared" si="13"/>
        <v>865288.83917339204</v>
      </c>
      <c r="Q16" s="19">
        <f t="shared" si="14"/>
        <v>-80262.307182203163</v>
      </c>
      <c r="R16" s="34">
        <f t="shared" si="5"/>
        <v>785026.53199118888</v>
      </c>
      <c r="S16" s="19">
        <f>((P16+R16)/2)*Invoerblad!$C$26</f>
        <v>33006.307423291619</v>
      </c>
      <c r="T16" s="34">
        <f t="shared" si="6"/>
        <v>818032.83941448049</v>
      </c>
      <c r="V16" s="1">
        <f>V15*(1+Invoerblad!$C$27)</f>
        <v>52013.988169426761</v>
      </c>
      <c r="W16" s="2">
        <f t="shared" si="15"/>
        <v>0.35749999999999998</v>
      </c>
      <c r="X16" s="1">
        <f>X15*(1+Invoerblad!$C$27)</f>
        <v>104910.8617178578</v>
      </c>
      <c r="Y16" s="2">
        <f t="shared" si="16"/>
        <v>0.37559999999999999</v>
      </c>
      <c r="Z16" s="2">
        <f t="shared" si="17"/>
        <v>0.495</v>
      </c>
      <c r="AB16" s="3">
        <f t="shared" si="18"/>
        <v>52013.988169426761</v>
      </c>
      <c r="AC16" s="2">
        <f t="shared" si="19"/>
        <v>0.17799999999999999</v>
      </c>
      <c r="AD16" s="3">
        <f t="shared" si="20"/>
        <v>104910.8617178578</v>
      </c>
      <c r="AE16" s="2">
        <f t="shared" si="21"/>
        <v>0.37559999999999999</v>
      </c>
      <c r="AF16" s="2">
        <f t="shared" si="22"/>
        <v>0.495</v>
      </c>
      <c r="AH16" s="3">
        <f t="shared" si="7"/>
        <v>0</v>
      </c>
      <c r="AI16" s="3">
        <f t="shared" si="8"/>
        <v>0</v>
      </c>
      <c r="AJ16" s="3">
        <f t="shared" si="9"/>
        <v>0</v>
      </c>
      <c r="AK16" s="3">
        <f t="shared" si="10"/>
        <v>0</v>
      </c>
      <c r="AL16" s="4">
        <f t="shared" si="11"/>
        <v>0</v>
      </c>
      <c r="AN16" s="3">
        <f t="shared" si="12"/>
        <v>0</v>
      </c>
    </row>
    <row r="17" spans="1:40" x14ac:dyDescent="0.25">
      <c r="A17">
        <f>A16*(1+Invoerblad!$C$29)</f>
        <v>34829.068661099955</v>
      </c>
      <c r="B17">
        <f>B16*(1+Invoerblad!$C$29)</f>
        <v>11609.689553699987</v>
      </c>
      <c r="E17" s="17">
        <v>2041</v>
      </c>
      <c r="F17" s="17">
        <f t="shared" si="23"/>
        <v>65</v>
      </c>
      <c r="G17" s="18">
        <f>IF(F17&gt;=Invoerblad!$C$28,A17,0)</f>
        <v>0</v>
      </c>
      <c r="H17" s="18">
        <f>IF(F17&gt;=Invoerblad!$C$28,B17,0)</f>
        <v>0</v>
      </c>
      <c r="I17" s="33">
        <f t="shared" si="0"/>
        <v>0</v>
      </c>
      <c r="J17" s="19">
        <f t="shared" si="1"/>
        <v>0</v>
      </c>
      <c r="K17" s="34">
        <f t="shared" si="2"/>
        <v>0</v>
      </c>
      <c r="L17" s="18">
        <f>L16*(1+Invoerblad!$C$27)</f>
        <v>81947.81563302943</v>
      </c>
      <c r="M17" s="34">
        <f t="shared" si="3"/>
        <v>-81947.81563302943</v>
      </c>
      <c r="N17" s="42">
        <f t="shared" si="4"/>
        <v>0</v>
      </c>
      <c r="O17" s="3"/>
      <c r="P17" s="34">
        <f t="shared" si="13"/>
        <v>818032.83941448049</v>
      </c>
      <c r="Q17" s="19">
        <f t="shared" si="14"/>
        <v>-81947.81563302943</v>
      </c>
      <c r="R17" s="34">
        <f t="shared" si="5"/>
        <v>736085.02378145105</v>
      </c>
      <c r="S17" s="19">
        <f>((P17+R17)/2)*Invoerblad!$C$26</f>
        <v>31082.357263918631</v>
      </c>
      <c r="T17" s="34">
        <f t="shared" si="6"/>
        <v>767167.38104536966</v>
      </c>
      <c r="V17" s="1">
        <f>V16*(1+Invoerblad!$C$27)</f>
        <v>53106.281920984715</v>
      </c>
      <c r="W17" s="2">
        <f t="shared" si="15"/>
        <v>0.35749999999999998</v>
      </c>
      <c r="X17" s="1">
        <f>X16*(1+Invoerblad!$C$27)</f>
        <v>107113.9898139328</v>
      </c>
      <c r="Y17" s="2">
        <f t="shared" si="16"/>
        <v>0.37559999999999999</v>
      </c>
      <c r="Z17" s="2">
        <f t="shared" si="17"/>
        <v>0.495</v>
      </c>
      <c r="AB17" s="3">
        <f t="shared" si="18"/>
        <v>53106.281920984715</v>
      </c>
      <c r="AC17" s="2">
        <f t="shared" si="19"/>
        <v>0.17799999999999999</v>
      </c>
      <c r="AD17" s="3">
        <f t="shared" si="20"/>
        <v>107113.9898139328</v>
      </c>
      <c r="AE17" s="2">
        <f t="shared" si="21"/>
        <v>0.37559999999999999</v>
      </c>
      <c r="AF17" s="2">
        <f t="shared" si="22"/>
        <v>0.495</v>
      </c>
      <c r="AH17" s="3">
        <f t="shared" si="7"/>
        <v>0</v>
      </c>
      <c r="AI17" s="3">
        <f t="shared" si="8"/>
        <v>0</v>
      </c>
      <c r="AJ17" s="3">
        <f t="shared" si="9"/>
        <v>0</v>
      </c>
      <c r="AK17" s="3">
        <f t="shared" si="10"/>
        <v>0</v>
      </c>
      <c r="AL17" s="4">
        <f t="shared" si="11"/>
        <v>0</v>
      </c>
      <c r="AN17" s="3">
        <f t="shared" si="12"/>
        <v>0</v>
      </c>
    </row>
    <row r="18" spans="1:40" x14ac:dyDescent="0.25">
      <c r="A18">
        <f>A17*(1+Invoerblad!$C$29)</f>
        <v>35177.359347710953</v>
      </c>
      <c r="B18">
        <f>B17*(1+Invoerblad!$C$29)</f>
        <v>11725.786449236988</v>
      </c>
      <c r="E18" s="17">
        <v>2042</v>
      </c>
      <c r="F18" s="17">
        <f t="shared" si="23"/>
        <v>66</v>
      </c>
      <c r="G18" s="18">
        <f>IF(F18&gt;=Invoerblad!$C$28,A18,0)</f>
        <v>0</v>
      </c>
      <c r="H18" s="18">
        <f>IF(F18&gt;=Invoerblad!$C$28,B18,0)</f>
        <v>0</v>
      </c>
      <c r="I18" s="33">
        <f t="shared" si="0"/>
        <v>0</v>
      </c>
      <c r="J18" s="19">
        <f t="shared" si="1"/>
        <v>0</v>
      </c>
      <c r="K18" s="34">
        <f t="shared" si="2"/>
        <v>0</v>
      </c>
      <c r="L18" s="18">
        <f>L17*(1+Invoerblad!$C$27)</f>
        <v>83668.719761323038</v>
      </c>
      <c r="M18" s="34">
        <f t="shared" si="3"/>
        <v>-83668.719761323038</v>
      </c>
      <c r="N18" s="42">
        <f t="shared" si="4"/>
        <v>0</v>
      </c>
      <c r="O18" s="3"/>
      <c r="P18" s="34">
        <f t="shared" si="13"/>
        <v>767167.38104536966</v>
      </c>
      <c r="Q18" s="19">
        <f t="shared" si="14"/>
        <v>-83668.719761323038</v>
      </c>
      <c r="R18" s="34">
        <f t="shared" si="5"/>
        <v>683498.6612840466</v>
      </c>
      <c r="S18" s="19">
        <f>((P18+R18)/2)*Invoerblad!$C$26</f>
        <v>29013.320846588322</v>
      </c>
      <c r="T18" s="34">
        <f t="shared" si="6"/>
        <v>712511.98213063495</v>
      </c>
      <c r="V18" s="1">
        <f>V17*(1+Invoerblad!$C$27)</f>
        <v>54221.513841325388</v>
      </c>
      <c r="W18" s="2">
        <f t="shared" si="15"/>
        <v>0.35749999999999998</v>
      </c>
      <c r="X18" s="1">
        <f>X17*(1+Invoerblad!$C$27)</f>
        <v>109363.38360002538</v>
      </c>
      <c r="Y18" s="2">
        <f t="shared" si="16"/>
        <v>0.37559999999999999</v>
      </c>
      <c r="Z18" s="2">
        <f t="shared" si="17"/>
        <v>0.495</v>
      </c>
      <c r="AB18" s="3">
        <f t="shared" si="18"/>
        <v>54221.513841325388</v>
      </c>
      <c r="AC18" s="2">
        <f t="shared" si="19"/>
        <v>0.17799999999999999</v>
      </c>
      <c r="AD18" s="3">
        <f t="shared" si="20"/>
        <v>109363.38360002538</v>
      </c>
      <c r="AE18" s="2">
        <f t="shared" si="21"/>
        <v>0.37559999999999999</v>
      </c>
      <c r="AF18" s="2">
        <f t="shared" si="22"/>
        <v>0.495</v>
      </c>
      <c r="AH18" s="3">
        <f t="shared" si="7"/>
        <v>0</v>
      </c>
      <c r="AI18" s="3">
        <f t="shared" si="8"/>
        <v>0</v>
      </c>
      <c r="AJ18" s="3">
        <f t="shared" si="9"/>
        <v>0</v>
      </c>
      <c r="AK18" s="3">
        <f t="shared" si="10"/>
        <v>0</v>
      </c>
      <c r="AL18" s="4">
        <f t="shared" si="11"/>
        <v>0</v>
      </c>
      <c r="AN18" s="3">
        <f t="shared" si="12"/>
        <v>0</v>
      </c>
    </row>
    <row r="19" spans="1:40" x14ac:dyDescent="0.25">
      <c r="A19">
        <f>A18*(1+Invoerblad!$C$29)</f>
        <v>35529.132941188065</v>
      </c>
      <c r="B19">
        <f>B18*(1+Invoerblad!$C$29)</f>
        <v>11843.044313729359</v>
      </c>
      <c r="E19" s="17">
        <v>2043</v>
      </c>
      <c r="F19" s="17">
        <f t="shared" si="23"/>
        <v>67</v>
      </c>
      <c r="G19" s="18">
        <f>IF(F19&gt;=Invoerblad!$C$28,A19,0)</f>
        <v>0</v>
      </c>
      <c r="H19" s="18">
        <f>IF(F19&gt;=Invoerblad!$C$28,B19,0)</f>
        <v>0</v>
      </c>
      <c r="I19" s="33">
        <f t="shared" si="0"/>
        <v>0</v>
      </c>
      <c r="J19" s="19">
        <f t="shared" si="1"/>
        <v>0</v>
      </c>
      <c r="K19" s="34">
        <f t="shared" si="2"/>
        <v>0</v>
      </c>
      <c r="L19" s="18">
        <f>L18*(1+Invoerblad!$C$27)</f>
        <v>85425.762876310808</v>
      </c>
      <c r="M19" s="34">
        <f t="shared" si="3"/>
        <v>-85425.762876310808</v>
      </c>
      <c r="N19" s="42">
        <f t="shared" si="4"/>
        <v>0</v>
      </c>
      <c r="O19" s="3"/>
      <c r="P19" s="34">
        <f t="shared" si="13"/>
        <v>712511.98213063495</v>
      </c>
      <c r="Q19" s="19">
        <f t="shared" si="14"/>
        <v>-85425.762876310808</v>
      </c>
      <c r="R19" s="34">
        <f t="shared" si="5"/>
        <v>627086.2192543241</v>
      </c>
      <c r="S19" s="19">
        <f>((P19+R19)/2)*Invoerblad!$C$26</f>
        <v>26791.964027699181</v>
      </c>
      <c r="T19" s="34">
        <f t="shared" si="6"/>
        <v>653878.1832820233</v>
      </c>
      <c r="V19" s="1">
        <f>V18*(1+Invoerblad!$C$27)</f>
        <v>55360.165631993215</v>
      </c>
      <c r="W19" s="2">
        <f t="shared" si="15"/>
        <v>0.35749999999999998</v>
      </c>
      <c r="X19" s="1">
        <f>X18*(1+Invoerblad!$C$27)</f>
        <v>111660.0146556259</v>
      </c>
      <c r="Y19" s="2">
        <f t="shared" si="16"/>
        <v>0.37559999999999999</v>
      </c>
      <c r="Z19" s="2">
        <f t="shared" si="17"/>
        <v>0.495</v>
      </c>
      <c r="AB19" s="3">
        <f t="shared" si="18"/>
        <v>55360.165631993215</v>
      </c>
      <c r="AC19" s="2">
        <f t="shared" si="19"/>
        <v>0.17799999999999999</v>
      </c>
      <c r="AD19" s="3">
        <f t="shared" si="20"/>
        <v>111660.0146556259</v>
      </c>
      <c r="AE19" s="2">
        <f t="shared" si="21"/>
        <v>0.37559999999999999</v>
      </c>
      <c r="AF19" s="2">
        <f t="shared" si="22"/>
        <v>0.495</v>
      </c>
      <c r="AH19" s="3">
        <f t="shared" si="7"/>
        <v>0</v>
      </c>
      <c r="AI19" s="3">
        <f t="shared" si="8"/>
        <v>0</v>
      </c>
      <c r="AJ19" s="3">
        <f t="shared" si="9"/>
        <v>0</v>
      </c>
      <c r="AK19" s="3">
        <f t="shared" si="10"/>
        <v>0</v>
      </c>
      <c r="AL19" s="4">
        <f t="shared" si="11"/>
        <v>0</v>
      </c>
      <c r="AN19" s="3">
        <f t="shared" si="12"/>
        <v>0</v>
      </c>
    </row>
    <row r="20" spans="1:40" x14ac:dyDescent="0.25">
      <c r="A20">
        <f>A19*(1+Invoerblad!$C$29)</f>
        <v>35884.42427059995</v>
      </c>
      <c r="B20">
        <f>B19*(1+Invoerblad!$C$29)</f>
        <v>11961.474756866652</v>
      </c>
      <c r="E20" s="17">
        <v>2044</v>
      </c>
      <c r="F20" s="17">
        <f t="shared" si="23"/>
        <v>68</v>
      </c>
      <c r="G20" s="18">
        <f>IF(F20&gt;=Invoerblad!$C$28,A20,0)</f>
        <v>0</v>
      </c>
      <c r="H20" s="18">
        <f>IF(F20&gt;=Invoerblad!$C$28,B20,0)</f>
        <v>0</v>
      </c>
      <c r="I20" s="33">
        <f t="shared" si="0"/>
        <v>0</v>
      </c>
      <c r="J20" s="19">
        <f t="shared" si="1"/>
        <v>0</v>
      </c>
      <c r="K20" s="34">
        <f t="shared" si="2"/>
        <v>0</v>
      </c>
      <c r="L20" s="18">
        <f>L19*(1+Invoerblad!$C$27)</f>
        <v>87219.703896713327</v>
      </c>
      <c r="M20" s="34">
        <f t="shared" si="3"/>
        <v>-87219.703896713327</v>
      </c>
      <c r="N20" s="42">
        <f t="shared" si="4"/>
        <v>0</v>
      </c>
      <c r="O20" s="3"/>
      <c r="P20" s="34">
        <f t="shared" si="13"/>
        <v>653878.1832820233</v>
      </c>
      <c r="Q20" s="19">
        <f t="shared" si="14"/>
        <v>-87219.703896713327</v>
      </c>
      <c r="R20" s="34">
        <f t="shared" si="5"/>
        <v>566658.47938530997</v>
      </c>
      <c r="S20" s="19">
        <f>((P20+R20)/2)*Invoerblad!$C$26</f>
        <v>24410.733253346665</v>
      </c>
      <c r="T20" s="34">
        <f t="shared" si="6"/>
        <v>591069.21263865661</v>
      </c>
      <c r="V20" s="1">
        <f>V19*(1+Invoerblad!$C$27)</f>
        <v>56522.729110265071</v>
      </c>
      <c r="W20" s="2">
        <f t="shared" si="15"/>
        <v>0.35749999999999998</v>
      </c>
      <c r="X20" s="1">
        <f>X19*(1+Invoerblad!$C$27)</f>
        <v>114004.87496339403</v>
      </c>
      <c r="Y20" s="2">
        <f t="shared" si="16"/>
        <v>0.37559999999999999</v>
      </c>
      <c r="Z20" s="2">
        <f t="shared" si="17"/>
        <v>0.495</v>
      </c>
      <c r="AB20" s="3">
        <f t="shared" si="18"/>
        <v>56522.729110265071</v>
      </c>
      <c r="AC20" s="2">
        <f t="shared" si="19"/>
        <v>0.17799999999999999</v>
      </c>
      <c r="AD20" s="3">
        <f t="shared" si="20"/>
        <v>114004.87496339403</v>
      </c>
      <c r="AE20" s="2">
        <f t="shared" si="21"/>
        <v>0.37559999999999999</v>
      </c>
      <c r="AF20" s="2">
        <f t="shared" si="22"/>
        <v>0.495</v>
      </c>
      <c r="AH20" s="3">
        <f t="shared" si="7"/>
        <v>0</v>
      </c>
      <c r="AI20" s="3">
        <f t="shared" si="8"/>
        <v>0</v>
      </c>
      <c r="AJ20" s="3">
        <f t="shared" si="9"/>
        <v>0</v>
      </c>
      <c r="AK20" s="3">
        <f t="shared" si="10"/>
        <v>0</v>
      </c>
      <c r="AL20" s="4">
        <f t="shared" si="11"/>
        <v>0</v>
      </c>
      <c r="AN20" s="3">
        <f t="shared" si="12"/>
        <v>0</v>
      </c>
    </row>
    <row r="21" spans="1:40" x14ac:dyDescent="0.25">
      <c r="A21">
        <f>A20*(1+Invoerblad!$C$29)</f>
        <v>36243.268513305949</v>
      </c>
      <c r="B21">
        <f>B20*(1+Invoerblad!$C$29)</f>
        <v>12081.089504435318</v>
      </c>
      <c r="E21" s="17">
        <v>2045</v>
      </c>
      <c r="F21" s="17">
        <f t="shared" si="23"/>
        <v>69</v>
      </c>
      <c r="G21" s="18">
        <f>IF(F21&gt;=Invoerblad!$C$28,A21,0)</f>
        <v>36243.268513305949</v>
      </c>
      <c r="H21" s="18">
        <f>IF(F21&gt;=Invoerblad!$C$28,B21,0)</f>
        <v>12081.089504435318</v>
      </c>
      <c r="I21" s="33">
        <f t="shared" si="0"/>
        <v>48324.358017741266</v>
      </c>
      <c r="J21" s="19">
        <f t="shared" si="1"/>
        <v>8601.7357271579458</v>
      </c>
      <c r="K21" s="34">
        <f t="shared" si="2"/>
        <v>39722.62229058332</v>
      </c>
      <c r="L21" s="18">
        <f>L20*(1+Invoerblad!$C$27)</f>
        <v>89051.317678544292</v>
      </c>
      <c r="M21" s="34">
        <f t="shared" si="3"/>
        <v>-49328.695387960972</v>
      </c>
      <c r="N21" s="42">
        <f t="shared" si="4"/>
        <v>0</v>
      </c>
      <c r="O21" s="3"/>
      <c r="P21" s="34">
        <f t="shared" si="13"/>
        <v>591069.21263865661</v>
      </c>
      <c r="Q21" s="19">
        <f t="shared" si="14"/>
        <v>-49328.695387960972</v>
      </c>
      <c r="R21" s="34">
        <f t="shared" si="5"/>
        <v>541740.51725069562</v>
      </c>
      <c r="S21" s="19">
        <f>((P21+R21)/2)*Invoerblad!$C$26</f>
        <v>22656.194597787045</v>
      </c>
      <c r="T21" s="34">
        <f t="shared" si="6"/>
        <v>564396.71184848261</v>
      </c>
      <c r="V21" s="1">
        <f>V20*(1+Invoerblad!$C$27)</f>
        <v>57709.706421580631</v>
      </c>
      <c r="W21" s="2">
        <f t="shared" si="15"/>
        <v>0.35749999999999998</v>
      </c>
      <c r="X21" s="1">
        <f>X20*(1+Invoerblad!$C$27)</f>
        <v>116398.9773376253</v>
      </c>
      <c r="Y21" s="2">
        <f t="shared" si="16"/>
        <v>0.37559999999999999</v>
      </c>
      <c r="Z21" s="2">
        <f t="shared" si="17"/>
        <v>0.495</v>
      </c>
      <c r="AB21" s="3">
        <f t="shared" si="18"/>
        <v>57709.706421580631</v>
      </c>
      <c r="AC21" s="2">
        <f t="shared" si="19"/>
        <v>0.17799999999999999</v>
      </c>
      <c r="AD21" s="3">
        <f t="shared" si="20"/>
        <v>116398.9773376253</v>
      </c>
      <c r="AE21" s="2">
        <f t="shared" si="21"/>
        <v>0.37559999999999999</v>
      </c>
      <c r="AF21" s="2">
        <f t="shared" si="22"/>
        <v>0.495</v>
      </c>
      <c r="AH21" s="3">
        <f t="shared" si="7"/>
        <v>48324.358017741266</v>
      </c>
      <c r="AI21" s="3">
        <f t="shared" si="8"/>
        <v>48324.358017741266</v>
      </c>
      <c r="AJ21" s="3">
        <f t="shared" si="9"/>
        <v>0</v>
      </c>
      <c r="AK21" s="3">
        <f t="shared" si="10"/>
        <v>0</v>
      </c>
      <c r="AL21" s="4">
        <f t="shared" si="11"/>
        <v>8601.7357271579458</v>
      </c>
      <c r="AN21" s="3">
        <f t="shared" si="12"/>
        <v>0</v>
      </c>
    </row>
    <row r="22" spans="1:40" x14ac:dyDescent="0.25">
      <c r="A22">
        <f>A21*(1+Invoerblad!$C$29)</f>
        <v>36605.701198439012</v>
      </c>
      <c r="B22">
        <f>B21*(1+Invoerblad!$C$29)</f>
        <v>12201.900399479671</v>
      </c>
      <c r="E22" s="17">
        <v>2046</v>
      </c>
      <c r="F22" s="17">
        <f t="shared" si="23"/>
        <v>70</v>
      </c>
      <c r="G22" s="18">
        <f>IF(F22&gt;=Invoerblad!$C$28,A22,0)</f>
        <v>36605.701198439012</v>
      </c>
      <c r="H22" s="18">
        <f>IF(F22&gt;=Invoerblad!$C$28,B22,0)</f>
        <v>12201.900399479671</v>
      </c>
      <c r="I22" s="33">
        <f t="shared" si="0"/>
        <v>48807.601597918685</v>
      </c>
      <c r="J22" s="19">
        <f t="shared" si="1"/>
        <v>8687.7530844295252</v>
      </c>
      <c r="K22" s="34">
        <f t="shared" si="2"/>
        <v>40119.84851348916</v>
      </c>
      <c r="L22" s="18">
        <f>L21*(1+Invoerblad!$C$27)</f>
        <v>90921.395349793718</v>
      </c>
      <c r="M22" s="34">
        <f t="shared" si="3"/>
        <v>-50801.546836304558</v>
      </c>
      <c r="N22" s="42">
        <f t="shared" si="4"/>
        <v>0</v>
      </c>
      <c r="O22" s="3"/>
      <c r="P22" s="34">
        <f t="shared" si="13"/>
        <v>564396.71184848261</v>
      </c>
      <c r="Q22" s="19">
        <f t="shared" si="14"/>
        <v>-50801.546836304558</v>
      </c>
      <c r="R22" s="34">
        <f t="shared" si="5"/>
        <v>513595.16501217807</v>
      </c>
      <c r="S22" s="19">
        <f>((P22+R22)/2)*Invoerblad!$C$26</f>
        <v>21559.837537213214</v>
      </c>
      <c r="T22" s="34">
        <f t="shared" si="6"/>
        <v>535155.00254939124</v>
      </c>
      <c r="V22" s="1">
        <f>V21*(1+Invoerblad!$C$27)</f>
        <v>58921.610256433822</v>
      </c>
      <c r="W22" s="2">
        <f t="shared" si="15"/>
        <v>0.35749999999999998</v>
      </c>
      <c r="X22" s="1">
        <f>X21*(1+Invoerblad!$C$27)</f>
        <v>118843.35586171542</v>
      </c>
      <c r="Y22" s="2">
        <f t="shared" si="16"/>
        <v>0.37559999999999999</v>
      </c>
      <c r="Z22" s="2">
        <f t="shared" si="17"/>
        <v>0.495</v>
      </c>
      <c r="AB22" s="3">
        <f t="shared" si="18"/>
        <v>58921.610256433822</v>
      </c>
      <c r="AC22" s="2">
        <f t="shared" si="19"/>
        <v>0.17799999999999999</v>
      </c>
      <c r="AD22" s="3">
        <f t="shared" si="20"/>
        <v>118843.35586171542</v>
      </c>
      <c r="AE22" s="2">
        <f t="shared" si="21"/>
        <v>0.37559999999999999</v>
      </c>
      <c r="AF22" s="2">
        <f t="shared" si="22"/>
        <v>0.495</v>
      </c>
      <c r="AH22" s="3">
        <f t="shared" si="7"/>
        <v>48807.601597918685</v>
      </c>
      <c r="AI22" s="3">
        <f t="shared" si="8"/>
        <v>48807.601597918685</v>
      </c>
      <c r="AJ22" s="3">
        <f t="shared" si="9"/>
        <v>0</v>
      </c>
      <c r="AK22" s="3">
        <f t="shared" si="10"/>
        <v>0</v>
      </c>
      <c r="AL22" s="4">
        <f t="shared" si="11"/>
        <v>8687.7530844295252</v>
      </c>
      <c r="AN22" s="3">
        <f t="shared" si="12"/>
        <v>0</v>
      </c>
    </row>
    <row r="23" spans="1:40" x14ac:dyDescent="0.25">
      <c r="A23">
        <f>A22*(1+Invoerblad!$C$29)</f>
        <v>36971.758210423402</v>
      </c>
      <c r="B23">
        <f>B22*(1+Invoerblad!$C$29)</f>
        <v>12323.919403474469</v>
      </c>
      <c r="E23" s="17">
        <v>2047</v>
      </c>
      <c r="F23" s="17">
        <f t="shared" ref="F23:F52" si="24">F22+1</f>
        <v>71</v>
      </c>
      <c r="G23" s="18">
        <f>IF(F23&gt;=Invoerblad!$C$28,A23,0)</f>
        <v>36971.758210423402</v>
      </c>
      <c r="H23" s="18">
        <f>IF(F23&gt;=Invoerblad!$C$28,B23,0)</f>
        <v>12323.919403474469</v>
      </c>
      <c r="I23" s="33">
        <f t="shared" si="0"/>
        <v>49295.677613897875</v>
      </c>
      <c r="J23" s="19">
        <f t="shared" si="1"/>
        <v>8774.6306152738216</v>
      </c>
      <c r="K23" s="34">
        <f t="shared" si="2"/>
        <v>40521.04699862405</v>
      </c>
      <c r="L23" s="18">
        <f>L22*(1+Invoerblad!$C$27)</f>
        <v>92830.744652139372</v>
      </c>
      <c r="M23" s="34">
        <f t="shared" si="3"/>
        <v>-52309.697653515323</v>
      </c>
      <c r="N23" s="42">
        <f t="shared" si="4"/>
        <v>0</v>
      </c>
      <c r="O23" s="3"/>
      <c r="P23" s="34">
        <f t="shared" si="13"/>
        <v>535155.00254939124</v>
      </c>
      <c r="Q23" s="19">
        <f t="shared" si="14"/>
        <v>-52309.697653515323</v>
      </c>
      <c r="R23" s="34">
        <f t="shared" si="5"/>
        <v>482845.30489587592</v>
      </c>
      <c r="S23" s="19">
        <f>((P23+R23)/2)*Invoerblad!$C$26</f>
        <v>20360.006148905344</v>
      </c>
      <c r="T23" s="34">
        <f t="shared" si="6"/>
        <v>503205.31104478124</v>
      </c>
      <c r="V23" s="1">
        <f>V22*(1+Invoerblad!$C$27)</f>
        <v>60158.964071818926</v>
      </c>
      <c r="W23" s="2">
        <f t="shared" si="15"/>
        <v>0.35749999999999998</v>
      </c>
      <c r="X23" s="1">
        <f>X22*(1+Invoerblad!$C$27)</f>
        <v>121339.06633481143</v>
      </c>
      <c r="Y23" s="2">
        <f t="shared" si="16"/>
        <v>0.37559999999999999</v>
      </c>
      <c r="Z23" s="2">
        <f t="shared" si="17"/>
        <v>0.495</v>
      </c>
      <c r="AB23" s="3">
        <f t="shared" si="18"/>
        <v>60158.964071818926</v>
      </c>
      <c r="AC23" s="2">
        <f t="shared" si="19"/>
        <v>0.17799999999999999</v>
      </c>
      <c r="AD23" s="3">
        <f t="shared" si="20"/>
        <v>121339.06633481143</v>
      </c>
      <c r="AE23" s="2">
        <f t="shared" si="21"/>
        <v>0.37559999999999999</v>
      </c>
      <c r="AF23" s="2">
        <f t="shared" si="22"/>
        <v>0.495</v>
      </c>
      <c r="AH23" s="3">
        <f t="shared" si="7"/>
        <v>49295.677613897875</v>
      </c>
      <c r="AI23" s="3">
        <f t="shared" si="8"/>
        <v>49295.677613897875</v>
      </c>
      <c r="AJ23" s="3">
        <f t="shared" si="9"/>
        <v>0</v>
      </c>
      <c r="AK23" s="3">
        <f t="shared" si="10"/>
        <v>0</v>
      </c>
      <c r="AL23" s="4">
        <f t="shared" si="11"/>
        <v>8774.6306152738216</v>
      </c>
      <c r="AN23" s="3">
        <f t="shared" si="12"/>
        <v>0</v>
      </c>
    </row>
    <row r="24" spans="1:40" x14ac:dyDescent="0.25">
      <c r="A24">
        <f>A23*(1+Invoerblad!$C$29)</f>
        <v>37341.475792527635</v>
      </c>
      <c r="B24">
        <f>B23*(1+Invoerblad!$C$29)</f>
        <v>12447.158597509213</v>
      </c>
      <c r="E24" s="17">
        <v>2048</v>
      </c>
      <c r="F24" s="17">
        <f t="shared" si="24"/>
        <v>72</v>
      </c>
      <c r="G24" s="18">
        <f>IF(F24&gt;=Invoerblad!$C$28,A24,0)</f>
        <v>37341.475792527635</v>
      </c>
      <c r="H24" s="18">
        <f>IF(F24&gt;=Invoerblad!$C$28,B24,0)</f>
        <v>12447.158597509213</v>
      </c>
      <c r="I24" s="33">
        <f t="shared" si="0"/>
        <v>49788.634390036852</v>
      </c>
      <c r="J24" s="19">
        <f t="shared" si="1"/>
        <v>8862.3769214265594</v>
      </c>
      <c r="K24" s="34">
        <f t="shared" si="2"/>
        <v>40926.257468610289</v>
      </c>
      <c r="L24" s="18">
        <f>L23*(1+Invoerblad!$C$27)</f>
        <v>94780.190289834296</v>
      </c>
      <c r="M24" s="34">
        <f t="shared" si="3"/>
        <v>-53853.932821224007</v>
      </c>
      <c r="N24" s="42">
        <f t="shared" si="4"/>
        <v>0</v>
      </c>
      <c r="O24" s="3"/>
      <c r="P24" s="34">
        <f t="shared" si="13"/>
        <v>503205.31104478124</v>
      </c>
      <c r="Q24" s="19">
        <f t="shared" si="14"/>
        <v>-53853.932821224007</v>
      </c>
      <c r="R24" s="34">
        <f t="shared" si="5"/>
        <v>449351.37822355726</v>
      </c>
      <c r="S24" s="19">
        <f>((P24+R24)/2)*Invoerblad!$C$26</f>
        <v>19051.133785366772</v>
      </c>
      <c r="T24" s="34">
        <f t="shared" si="6"/>
        <v>468402.51200892404</v>
      </c>
      <c r="V24" s="1">
        <f>V23*(1+Invoerblad!$C$27)</f>
        <v>61422.302317327114</v>
      </c>
      <c r="W24" s="2">
        <f t="shared" si="15"/>
        <v>0.35749999999999998</v>
      </c>
      <c r="X24" s="1">
        <f>X23*(1+Invoerblad!$C$27)</f>
        <v>123887.18672784246</v>
      </c>
      <c r="Y24" s="2">
        <f t="shared" si="16"/>
        <v>0.37559999999999999</v>
      </c>
      <c r="Z24" s="2">
        <f t="shared" si="17"/>
        <v>0.495</v>
      </c>
      <c r="AB24" s="3">
        <f t="shared" si="18"/>
        <v>61422.302317327114</v>
      </c>
      <c r="AC24" s="2">
        <f t="shared" si="19"/>
        <v>0.17799999999999999</v>
      </c>
      <c r="AD24" s="3">
        <f t="shared" si="20"/>
        <v>123887.18672784246</v>
      </c>
      <c r="AE24" s="2">
        <f t="shared" si="21"/>
        <v>0.37559999999999999</v>
      </c>
      <c r="AF24" s="2">
        <f t="shared" si="22"/>
        <v>0.495</v>
      </c>
      <c r="AH24" s="3">
        <f t="shared" si="7"/>
        <v>49788.634390036852</v>
      </c>
      <c r="AI24" s="3">
        <f t="shared" si="8"/>
        <v>49788.634390036852</v>
      </c>
      <c r="AJ24" s="3">
        <f t="shared" si="9"/>
        <v>0</v>
      </c>
      <c r="AK24" s="3">
        <f t="shared" si="10"/>
        <v>0</v>
      </c>
      <c r="AL24" s="4">
        <f t="shared" si="11"/>
        <v>8862.3769214265594</v>
      </c>
      <c r="AN24" s="3">
        <f t="shared" si="12"/>
        <v>0</v>
      </c>
    </row>
    <row r="25" spans="1:40" x14ac:dyDescent="0.25">
      <c r="A25">
        <f>A24*(1+Invoerblad!$C$29)</f>
        <v>37714.89055045291</v>
      </c>
      <c r="B25">
        <f>B24*(1+Invoerblad!$C$29)</f>
        <v>12571.630183484305</v>
      </c>
      <c r="E25" s="17">
        <v>2049</v>
      </c>
      <c r="F25" s="17">
        <f t="shared" si="24"/>
        <v>73</v>
      </c>
      <c r="G25" s="18">
        <f>IF(F25&gt;=Invoerblad!$C$28,A25,0)</f>
        <v>37714.89055045291</v>
      </c>
      <c r="H25" s="18">
        <f>IF(F25&gt;=Invoerblad!$C$28,B25,0)</f>
        <v>12571.630183484305</v>
      </c>
      <c r="I25" s="33">
        <f t="shared" si="0"/>
        <v>50286.520733937214</v>
      </c>
      <c r="J25" s="19">
        <f t="shared" si="1"/>
        <v>8951.0006906408234</v>
      </c>
      <c r="K25" s="34">
        <f t="shared" si="2"/>
        <v>41335.52004329639</v>
      </c>
      <c r="L25" s="18">
        <f>L24*(1+Invoerblad!$C$27)</f>
        <v>96770.574285920811</v>
      </c>
      <c r="M25" s="34">
        <f t="shared" si="3"/>
        <v>-55435.054242624421</v>
      </c>
      <c r="N25" s="42">
        <f t="shared" si="4"/>
        <v>0</v>
      </c>
      <c r="O25" s="3"/>
      <c r="P25" s="34">
        <f t="shared" si="13"/>
        <v>468402.51200892404</v>
      </c>
      <c r="Q25" s="19">
        <f t="shared" si="14"/>
        <v>-55435.054242624421</v>
      </c>
      <c r="R25" s="34">
        <f t="shared" si="5"/>
        <v>412967.4577662996</v>
      </c>
      <c r="S25" s="19">
        <f>((P25+R25)/2)*Invoerblad!$C$26</f>
        <v>17627.399395504472</v>
      </c>
      <c r="T25" s="34">
        <f t="shared" si="6"/>
        <v>430594.8571618041</v>
      </c>
      <c r="V25" s="1">
        <f>V24*(1+Invoerblad!$C$27)</f>
        <v>62712.170665990976</v>
      </c>
      <c r="W25" s="2">
        <f t="shared" si="15"/>
        <v>0.35749999999999998</v>
      </c>
      <c r="X25" s="1">
        <f>X24*(1+Invoerblad!$C$27)</f>
        <v>126488.81764912714</v>
      </c>
      <c r="Y25" s="2">
        <f t="shared" si="16"/>
        <v>0.37559999999999999</v>
      </c>
      <c r="Z25" s="2">
        <f t="shared" si="17"/>
        <v>0.495</v>
      </c>
      <c r="AB25" s="3">
        <f t="shared" si="18"/>
        <v>62712.170665990976</v>
      </c>
      <c r="AC25" s="2">
        <f t="shared" si="19"/>
        <v>0.17799999999999999</v>
      </c>
      <c r="AD25" s="3">
        <f t="shared" si="20"/>
        <v>126488.81764912714</v>
      </c>
      <c r="AE25" s="2">
        <f t="shared" si="21"/>
        <v>0.37559999999999999</v>
      </c>
      <c r="AF25" s="2">
        <f t="shared" si="22"/>
        <v>0.495</v>
      </c>
      <c r="AH25" s="3">
        <f t="shared" si="7"/>
        <v>50286.520733937214</v>
      </c>
      <c r="AI25" s="3">
        <f t="shared" si="8"/>
        <v>50286.520733937214</v>
      </c>
      <c r="AJ25" s="3">
        <f t="shared" si="9"/>
        <v>0</v>
      </c>
      <c r="AK25" s="3">
        <f t="shared" si="10"/>
        <v>0</v>
      </c>
      <c r="AL25" s="4">
        <f t="shared" si="11"/>
        <v>8951.0006906408234</v>
      </c>
      <c r="AN25" s="3">
        <f t="shared" si="12"/>
        <v>0</v>
      </c>
    </row>
    <row r="26" spans="1:40" x14ac:dyDescent="0.25">
      <c r="A26">
        <f>A25*(1+Invoerblad!$C$29)</f>
        <v>38092.039455957442</v>
      </c>
      <c r="B26">
        <f>B25*(1+Invoerblad!$C$29)</f>
        <v>12697.346485319149</v>
      </c>
      <c r="E26" s="17">
        <v>2050</v>
      </c>
      <c r="F26" s="17">
        <f t="shared" si="24"/>
        <v>74</v>
      </c>
      <c r="G26" s="18">
        <f>IF(F26&gt;=Invoerblad!$C$28,A26,0)</f>
        <v>38092.039455957442</v>
      </c>
      <c r="H26" s="18">
        <f>IF(F26&gt;=Invoerblad!$C$28,B26,0)</f>
        <v>12697.346485319149</v>
      </c>
      <c r="I26" s="33">
        <f t="shared" si="0"/>
        <v>50789.385941276589</v>
      </c>
      <c r="J26" s="19">
        <f t="shared" si="1"/>
        <v>9040.5106975472318</v>
      </c>
      <c r="K26" s="34">
        <f t="shared" si="2"/>
        <v>41748.875243729359</v>
      </c>
      <c r="L26" s="18">
        <f>L25*(1+Invoerblad!$C$27)</f>
        <v>98802.75634592514</v>
      </c>
      <c r="M26" s="34">
        <f t="shared" si="3"/>
        <v>-57053.881102195781</v>
      </c>
      <c r="N26" s="42">
        <f t="shared" si="4"/>
        <v>0</v>
      </c>
      <c r="O26" s="3"/>
      <c r="P26" s="34">
        <f t="shared" si="13"/>
        <v>430594.8571618041</v>
      </c>
      <c r="Q26" s="19">
        <f t="shared" si="14"/>
        <v>-57053.881102195781</v>
      </c>
      <c r="R26" s="34">
        <f t="shared" si="5"/>
        <v>373540.97605960834</v>
      </c>
      <c r="S26" s="19">
        <f>((P26+R26)/2)*Invoerblad!$C$26</f>
        <v>16082.71666442825</v>
      </c>
      <c r="T26" s="34">
        <f t="shared" si="6"/>
        <v>389623.69272403658</v>
      </c>
      <c r="V26" s="1">
        <f>V25*(1+Invoerblad!$C$27)</f>
        <v>64029.126249976784</v>
      </c>
      <c r="W26" s="2">
        <f t="shared" si="15"/>
        <v>0.35749999999999998</v>
      </c>
      <c r="X26" s="1">
        <f>X25*(1+Invoerblad!$C$27)</f>
        <v>129145.0828197588</v>
      </c>
      <c r="Y26" s="2">
        <f t="shared" si="16"/>
        <v>0.37559999999999999</v>
      </c>
      <c r="Z26" s="2">
        <f t="shared" si="17"/>
        <v>0.495</v>
      </c>
      <c r="AB26" s="3">
        <f t="shared" si="18"/>
        <v>64029.126249976784</v>
      </c>
      <c r="AC26" s="2">
        <f t="shared" si="19"/>
        <v>0.17799999999999999</v>
      </c>
      <c r="AD26" s="3">
        <f t="shared" si="20"/>
        <v>129145.0828197588</v>
      </c>
      <c r="AE26" s="2">
        <f t="shared" si="21"/>
        <v>0.37559999999999999</v>
      </c>
      <c r="AF26" s="2">
        <f t="shared" si="22"/>
        <v>0.495</v>
      </c>
      <c r="AH26" s="3">
        <f t="shared" si="7"/>
        <v>50789.385941276589</v>
      </c>
      <c r="AI26" s="3">
        <f t="shared" si="8"/>
        <v>50789.385941276589</v>
      </c>
      <c r="AJ26" s="3">
        <f t="shared" si="9"/>
        <v>0</v>
      </c>
      <c r="AK26" s="3">
        <f t="shared" si="10"/>
        <v>0</v>
      </c>
      <c r="AL26" s="4">
        <f t="shared" si="11"/>
        <v>9040.5106975472318</v>
      </c>
      <c r="AN26" s="3">
        <f t="shared" si="12"/>
        <v>0</v>
      </c>
    </row>
    <row r="27" spans="1:40" x14ac:dyDescent="0.25">
      <c r="A27">
        <f>A26*(1+Invoerblad!$C$29)</f>
        <v>38472.959850517014</v>
      </c>
      <c r="B27">
        <f>B26*(1+Invoerblad!$C$29)</f>
        <v>12824.319950172341</v>
      </c>
      <c r="E27" s="17">
        <v>2051</v>
      </c>
      <c r="F27" s="17">
        <f t="shared" si="24"/>
        <v>75</v>
      </c>
      <c r="G27" s="18">
        <f>IF(F27&gt;=Invoerblad!$C$28,A27,0)</f>
        <v>38472.959850517014</v>
      </c>
      <c r="H27" s="18">
        <f>IF(F27&gt;=Invoerblad!$C$28,B27,0)</f>
        <v>12824.319950172341</v>
      </c>
      <c r="I27" s="33">
        <f t="shared" si="0"/>
        <v>51297.279800689357</v>
      </c>
      <c r="J27" s="19">
        <f t="shared" si="1"/>
        <v>9130.915804522705</v>
      </c>
      <c r="K27" s="34">
        <f t="shared" si="2"/>
        <v>42166.363996166649</v>
      </c>
      <c r="L27" s="18">
        <f>L26*(1+Invoerblad!$C$27)</f>
        <v>100877.61422918955</v>
      </c>
      <c r="M27" s="34">
        <f t="shared" si="3"/>
        <v>-58711.250233022904</v>
      </c>
      <c r="N27" s="42">
        <f t="shared" si="4"/>
        <v>0</v>
      </c>
      <c r="O27" s="3"/>
      <c r="P27" s="34">
        <f t="shared" si="13"/>
        <v>389623.69272403658</v>
      </c>
      <c r="Q27" s="19">
        <f t="shared" si="14"/>
        <v>-58711.250233022904</v>
      </c>
      <c r="R27" s="34">
        <f t="shared" si="5"/>
        <v>330912.44249101367</v>
      </c>
      <c r="S27" s="19">
        <f>((P27+R27)/2)*Invoerblad!$C$26</f>
        <v>14410.722704301006</v>
      </c>
      <c r="T27" s="34">
        <f t="shared" si="6"/>
        <v>345323.16519531468</v>
      </c>
      <c r="V27" s="1">
        <f>V26*(1+Invoerblad!$C$27)</f>
        <v>65373.73790122629</v>
      </c>
      <c r="W27" s="2">
        <f t="shared" si="15"/>
        <v>0.35749999999999998</v>
      </c>
      <c r="X27" s="1">
        <f>X26*(1+Invoerblad!$C$27)</f>
        <v>131857.12955897371</v>
      </c>
      <c r="Y27" s="2">
        <f t="shared" si="16"/>
        <v>0.37559999999999999</v>
      </c>
      <c r="Z27" s="2">
        <f t="shared" si="17"/>
        <v>0.495</v>
      </c>
      <c r="AB27" s="3">
        <f t="shared" si="18"/>
        <v>65373.73790122629</v>
      </c>
      <c r="AC27" s="2">
        <f t="shared" si="19"/>
        <v>0.17799999999999999</v>
      </c>
      <c r="AD27" s="3">
        <f t="shared" si="20"/>
        <v>131857.12955897371</v>
      </c>
      <c r="AE27" s="2">
        <f t="shared" si="21"/>
        <v>0.37559999999999999</v>
      </c>
      <c r="AF27" s="2">
        <f t="shared" si="22"/>
        <v>0.495</v>
      </c>
      <c r="AH27" s="3">
        <f t="shared" si="7"/>
        <v>51297.279800689357</v>
      </c>
      <c r="AI27" s="3">
        <f t="shared" si="8"/>
        <v>51297.279800689357</v>
      </c>
      <c r="AJ27" s="3">
        <f t="shared" si="9"/>
        <v>0</v>
      </c>
      <c r="AK27" s="3">
        <f t="shared" si="10"/>
        <v>0</v>
      </c>
      <c r="AL27" s="4">
        <f t="shared" si="11"/>
        <v>9130.915804522705</v>
      </c>
      <c r="AN27" s="3">
        <f t="shared" si="12"/>
        <v>0</v>
      </c>
    </row>
    <row r="28" spans="1:40" x14ac:dyDescent="0.25">
      <c r="A28">
        <f>A27*(1+Invoerblad!$C$29)</f>
        <v>38857.689449022182</v>
      </c>
      <c r="B28">
        <f>B27*(1+Invoerblad!$C$29)</f>
        <v>12952.563149674064</v>
      </c>
      <c r="E28" s="17">
        <v>2052</v>
      </c>
      <c r="F28" s="17">
        <f t="shared" si="24"/>
        <v>76</v>
      </c>
      <c r="G28" s="18">
        <f>IF(F28&gt;=Invoerblad!$C$28,A28,0)</f>
        <v>38857.689449022182</v>
      </c>
      <c r="H28" s="18">
        <f>IF(F28&gt;=Invoerblad!$C$28,B28,0)</f>
        <v>12952.563149674064</v>
      </c>
      <c r="I28" s="33">
        <f t="shared" si="0"/>
        <v>51810.252598696243</v>
      </c>
      <c r="J28" s="19">
        <f t="shared" si="1"/>
        <v>9222.2249625679306</v>
      </c>
      <c r="K28" s="34">
        <f t="shared" si="2"/>
        <v>42588.02763612831</v>
      </c>
      <c r="L28" s="18">
        <f>L27*(1+Invoerblad!$C$27)</f>
        <v>102996.04412800253</v>
      </c>
      <c r="M28" s="34">
        <f t="shared" si="3"/>
        <v>-60408.016491874216</v>
      </c>
      <c r="N28" s="42">
        <f t="shared" si="4"/>
        <v>0</v>
      </c>
      <c r="O28" s="3"/>
      <c r="P28" s="34">
        <f t="shared" si="13"/>
        <v>345323.16519531468</v>
      </c>
      <c r="Q28" s="19">
        <f t="shared" si="14"/>
        <v>-60408.016491874216</v>
      </c>
      <c r="R28" s="34">
        <f t="shared" si="5"/>
        <v>284915.14870344044</v>
      </c>
      <c r="S28" s="19">
        <f>((P28+R28)/2)*Invoerblad!$C$26</f>
        <v>12604.766277975103</v>
      </c>
      <c r="T28" s="34">
        <f t="shared" si="6"/>
        <v>297519.91498141555</v>
      </c>
      <c r="V28" s="1">
        <f>V27*(1+Invoerblad!$C$27)</f>
        <v>66746.58639715203</v>
      </c>
      <c r="W28" s="2">
        <f t="shared" si="15"/>
        <v>0.35749999999999998</v>
      </c>
      <c r="X28" s="1">
        <f>X27*(1+Invoerblad!$C$27)</f>
        <v>134626.12927971216</v>
      </c>
      <c r="Y28" s="2">
        <f t="shared" si="16"/>
        <v>0.37559999999999999</v>
      </c>
      <c r="Z28" s="2">
        <f t="shared" si="17"/>
        <v>0.495</v>
      </c>
      <c r="AB28" s="3">
        <f t="shared" si="18"/>
        <v>66746.58639715203</v>
      </c>
      <c r="AC28" s="2">
        <f t="shared" si="19"/>
        <v>0.17799999999999999</v>
      </c>
      <c r="AD28" s="3">
        <f t="shared" si="20"/>
        <v>134626.12927971216</v>
      </c>
      <c r="AE28" s="2">
        <f t="shared" si="21"/>
        <v>0.37559999999999999</v>
      </c>
      <c r="AF28" s="2">
        <f t="shared" si="22"/>
        <v>0.495</v>
      </c>
      <c r="AH28" s="3">
        <f t="shared" si="7"/>
        <v>51810.252598696243</v>
      </c>
      <c r="AI28" s="3">
        <f t="shared" si="8"/>
        <v>51810.252598696243</v>
      </c>
      <c r="AJ28" s="3">
        <f t="shared" si="9"/>
        <v>0</v>
      </c>
      <c r="AK28" s="3">
        <f t="shared" si="10"/>
        <v>0</v>
      </c>
      <c r="AL28" s="4">
        <f t="shared" si="11"/>
        <v>9222.2249625679306</v>
      </c>
      <c r="AN28" s="3">
        <f t="shared" si="12"/>
        <v>0</v>
      </c>
    </row>
    <row r="29" spans="1:40" x14ac:dyDescent="0.25">
      <c r="A29">
        <f>A28*(1+Invoerblad!$C$29)</f>
        <v>39246.266343512405</v>
      </c>
      <c r="B29">
        <f>B28*(1+Invoerblad!$C$29)</f>
        <v>13082.088781170805</v>
      </c>
      <c r="E29" s="17">
        <v>2053</v>
      </c>
      <c r="F29" s="17">
        <f t="shared" si="24"/>
        <v>77</v>
      </c>
      <c r="G29" s="18">
        <f>IF(F29&gt;=Invoerblad!$C$28,A29,0)</f>
        <v>39246.266343512405</v>
      </c>
      <c r="H29" s="18">
        <f>IF(F29&gt;=Invoerblad!$C$28,B29,0)</f>
        <v>13082.088781170805</v>
      </c>
      <c r="I29" s="33">
        <f t="shared" si="0"/>
        <v>52328.355124683207</v>
      </c>
      <c r="J29" s="19">
        <f t="shared" si="1"/>
        <v>9314.4472121936105</v>
      </c>
      <c r="K29" s="34">
        <f t="shared" si="2"/>
        <v>43013.907912489594</v>
      </c>
      <c r="L29" s="18">
        <f>L28*(1+Invoerblad!$C$27)</f>
        <v>105158.96105469058</v>
      </c>
      <c r="M29" s="34">
        <f t="shared" si="3"/>
        <v>-62145.053142200981</v>
      </c>
      <c r="N29" s="42">
        <f t="shared" si="4"/>
        <v>0</v>
      </c>
      <c r="O29" s="3"/>
      <c r="P29" s="34">
        <f t="shared" si="13"/>
        <v>297519.91498141555</v>
      </c>
      <c r="Q29" s="19">
        <f t="shared" si="14"/>
        <v>-62145.053142200981</v>
      </c>
      <c r="R29" s="34">
        <f t="shared" si="5"/>
        <v>235374.86183921457</v>
      </c>
      <c r="S29" s="19">
        <f>((P29+R29)/2)*Invoerblad!$C$26</f>
        <v>10657.895536412601</v>
      </c>
      <c r="T29" s="34">
        <f t="shared" si="6"/>
        <v>246032.75737562717</v>
      </c>
      <c r="V29" s="1">
        <f>V28*(1+Invoerblad!$C$27)</f>
        <v>68148.264711492215</v>
      </c>
      <c r="W29" s="2">
        <f t="shared" si="15"/>
        <v>0.35749999999999998</v>
      </c>
      <c r="X29" s="1">
        <f>X28*(1+Invoerblad!$C$27)</f>
        <v>137453.2779945861</v>
      </c>
      <c r="Y29" s="2">
        <f t="shared" si="16"/>
        <v>0.37559999999999999</v>
      </c>
      <c r="Z29" s="2">
        <f t="shared" si="17"/>
        <v>0.495</v>
      </c>
      <c r="AB29" s="3">
        <f t="shared" si="18"/>
        <v>68148.264711492215</v>
      </c>
      <c r="AC29" s="2">
        <f t="shared" si="19"/>
        <v>0.17799999999999999</v>
      </c>
      <c r="AD29" s="3">
        <f t="shared" si="20"/>
        <v>137453.2779945861</v>
      </c>
      <c r="AE29" s="2">
        <f t="shared" si="21"/>
        <v>0.37559999999999999</v>
      </c>
      <c r="AF29" s="2">
        <f t="shared" si="22"/>
        <v>0.495</v>
      </c>
      <c r="AH29" s="3">
        <f t="shared" si="7"/>
        <v>52328.355124683207</v>
      </c>
      <c r="AI29" s="3">
        <f t="shared" si="8"/>
        <v>52328.355124683207</v>
      </c>
      <c r="AJ29" s="3">
        <f t="shared" si="9"/>
        <v>0</v>
      </c>
      <c r="AK29" s="3">
        <f t="shared" si="10"/>
        <v>0</v>
      </c>
      <c r="AL29" s="4">
        <f t="shared" si="11"/>
        <v>9314.4472121936105</v>
      </c>
      <c r="AN29" s="3">
        <f t="shared" si="12"/>
        <v>0</v>
      </c>
    </row>
    <row r="30" spans="1:40" x14ac:dyDescent="0.25">
      <c r="A30">
        <f>A29*(1+Invoerblad!$C$29)</f>
        <v>39638.729006947528</v>
      </c>
      <c r="B30">
        <f>B29*(1+Invoerblad!$C$29)</f>
        <v>13212.909668982513</v>
      </c>
      <c r="E30" s="17">
        <v>2054</v>
      </c>
      <c r="F30" s="17">
        <f t="shared" si="24"/>
        <v>78</v>
      </c>
      <c r="G30" s="18">
        <f>IF(F30&gt;=Invoerblad!$C$28,A30,0)</f>
        <v>39638.729006947528</v>
      </c>
      <c r="H30" s="18">
        <f>IF(F30&gt;=Invoerblad!$C$28,B30,0)</f>
        <v>13212.909668982513</v>
      </c>
      <c r="I30" s="33">
        <f t="shared" si="0"/>
        <v>52851.638675930037</v>
      </c>
      <c r="J30" s="19">
        <f t="shared" si="1"/>
        <v>9407.5916843155464</v>
      </c>
      <c r="K30" s="34">
        <f t="shared" si="2"/>
        <v>43444.046991614494</v>
      </c>
      <c r="L30" s="18">
        <f>L29*(1+Invoerblad!$C$27)</f>
        <v>107367.29923683907</v>
      </c>
      <c r="M30" s="34">
        <f t="shared" si="3"/>
        <v>-63923.252245224576</v>
      </c>
      <c r="N30" s="42">
        <f t="shared" si="4"/>
        <v>0</v>
      </c>
      <c r="O30" s="3"/>
      <c r="P30" s="34">
        <f t="shared" si="13"/>
        <v>246032.75737562717</v>
      </c>
      <c r="Q30" s="19">
        <f t="shared" si="14"/>
        <v>-63923.252245224576</v>
      </c>
      <c r="R30" s="34">
        <f t="shared" si="5"/>
        <v>182109.5051304026</v>
      </c>
      <c r="S30" s="19">
        <f>((P30+R30)/2)*Invoerblad!$C$26</f>
        <v>8562.8452501205957</v>
      </c>
      <c r="T30" s="34">
        <f t="shared" si="6"/>
        <v>190672.35038052319</v>
      </c>
      <c r="V30" s="1">
        <f>V29*(1+Invoerblad!$C$27)</f>
        <v>69579.378270433546</v>
      </c>
      <c r="W30" s="2">
        <f t="shared" si="15"/>
        <v>0.35749999999999998</v>
      </c>
      <c r="X30" s="1">
        <f>X29*(1+Invoerblad!$C$27)</f>
        <v>140339.79683247241</v>
      </c>
      <c r="Y30" s="2">
        <f t="shared" si="16"/>
        <v>0.37559999999999999</v>
      </c>
      <c r="Z30" s="2">
        <f t="shared" si="17"/>
        <v>0.495</v>
      </c>
      <c r="AB30" s="3">
        <f t="shared" si="18"/>
        <v>69579.378270433546</v>
      </c>
      <c r="AC30" s="2">
        <f t="shared" si="19"/>
        <v>0.17799999999999999</v>
      </c>
      <c r="AD30" s="3">
        <f t="shared" si="20"/>
        <v>140339.79683247241</v>
      </c>
      <c r="AE30" s="2">
        <f t="shared" si="21"/>
        <v>0.37559999999999999</v>
      </c>
      <c r="AF30" s="2">
        <f t="shared" si="22"/>
        <v>0.495</v>
      </c>
      <c r="AH30" s="3">
        <f t="shared" si="7"/>
        <v>52851.638675930037</v>
      </c>
      <c r="AI30" s="3">
        <f t="shared" si="8"/>
        <v>52851.638675930037</v>
      </c>
      <c r="AJ30" s="3">
        <f t="shared" si="9"/>
        <v>0</v>
      </c>
      <c r="AK30" s="3">
        <f t="shared" si="10"/>
        <v>0</v>
      </c>
      <c r="AL30" s="4">
        <f t="shared" si="11"/>
        <v>9407.5916843155464</v>
      </c>
      <c r="AN30" s="3">
        <f t="shared" si="12"/>
        <v>0</v>
      </c>
    </row>
    <row r="31" spans="1:40" x14ac:dyDescent="0.25">
      <c r="A31">
        <f>A30*(1+Invoerblad!$C$29)</f>
        <v>40035.116297017004</v>
      </c>
      <c r="B31">
        <f>B30*(1+Invoerblad!$C$29)</f>
        <v>13345.038765672338</v>
      </c>
      <c r="E31" s="17">
        <v>2055</v>
      </c>
      <c r="F31" s="17">
        <f t="shared" si="24"/>
        <v>79</v>
      </c>
      <c r="G31" s="18">
        <f>IF(F31&gt;=Invoerblad!$C$28,A31,0)</f>
        <v>40035.116297017004</v>
      </c>
      <c r="H31" s="18">
        <f>IF(F31&gt;=Invoerblad!$C$28,B31,0)</f>
        <v>13345.038765672338</v>
      </c>
      <c r="I31" s="33">
        <f t="shared" si="0"/>
        <v>53380.155062689344</v>
      </c>
      <c r="J31" s="19">
        <f t="shared" si="1"/>
        <v>9501.6676011587024</v>
      </c>
      <c r="K31" s="34">
        <f t="shared" si="2"/>
        <v>43878.48746153064</v>
      </c>
      <c r="L31" s="18">
        <f>L30*(1+Invoerblad!$C$27)</f>
        <v>109622.01252081268</v>
      </c>
      <c r="M31" s="34">
        <f t="shared" si="3"/>
        <v>-65743.525059282052</v>
      </c>
      <c r="N31" s="42">
        <f t="shared" si="4"/>
        <v>0</v>
      </c>
      <c r="O31" s="3"/>
      <c r="P31" s="34">
        <f t="shared" si="13"/>
        <v>190672.35038052319</v>
      </c>
      <c r="Q31" s="19">
        <f t="shared" si="14"/>
        <v>-65743.525059282052</v>
      </c>
      <c r="R31" s="34">
        <f t="shared" si="5"/>
        <v>124928.82532124114</v>
      </c>
      <c r="S31" s="19">
        <f>((P31+R31)/2)*Invoerblad!$C$26</f>
        <v>6312.0235140352861</v>
      </c>
      <c r="T31" s="34">
        <f t="shared" si="6"/>
        <v>131240.84883527641</v>
      </c>
      <c r="V31" s="1">
        <f>V30*(1+Invoerblad!$C$27)</f>
        <v>71040.545214112644</v>
      </c>
      <c r="W31" s="2">
        <f t="shared" si="15"/>
        <v>0.35749999999999998</v>
      </c>
      <c r="X31" s="1">
        <f>X30*(1+Invoerblad!$C$27)</f>
        <v>143286.93256595431</v>
      </c>
      <c r="Y31" s="2">
        <f t="shared" si="16"/>
        <v>0.37559999999999999</v>
      </c>
      <c r="Z31" s="2">
        <f t="shared" si="17"/>
        <v>0.495</v>
      </c>
      <c r="AB31" s="3">
        <f t="shared" si="18"/>
        <v>71040.545214112644</v>
      </c>
      <c r="AC31" s="2">
        <f t="shared" si="19"/>
        <v>0.17799999999999999</v>
      </c>
      <c r="AD31" s="3">
        <f t="shared" si="20"/>
        <v>143286.93256595431</v>
      </c>
      <c r="AE31" s="2">
        <f t="shared" si="21"/>
        <v>0.37559999999999999</v>
      </c>
      <c r="AF31" s="2">
        <f t="shared" si="22"/>
        <v>0.495</v>
      </c>
      <c r="AH31" s="3">
        <f t="shared" si="7"/>
        <v>53380.155062689344</v>
      </c>
      <c r="AI31" s="3">
        <f t="shared" si="8"/>
        <v>53380.155062689344</v>
      </c>
      <c r="AJ31" s="3">
        <f t="shared" si="9"/>
        <v>0</v>
      </c>
      <c r="AK31" s="3">
        <f t="shared" si="10"/>
        <v>0</v>
      </c>
      <c r="AL31" s="4">
        <f t="shared" si="11"/>
        <v>9501.6676011587024</v>
      </c>
      <c r="AN31" s="3">
        <f t="shared" si="12"/>
        <v>0</v>
      </c>
    </row>
    <row r="32" spans="1:40" x14ac:dyDescent="0.25">
      <c r="A32">
        <f>A31*(1+Invoerblad!$C$29)</f>
        <v>40435.467459987172</v>
      </c>
      <c r="B32">
        <f>B31*(1+Invoerblad!$C$29)</f>
        <v>13478.489153329061</v>
      </c>
      <c r="E32" s="17">
        <v>2056</v>
      </c>
      <c r="F32" s="17">
        <f t="shared" si="24"/>
        <v>80</v>
      </c>
      <c r="G32" s="18">
        <f>IF(F32&gt;=Invoerblad!$C$28,A32,0)</f>
        <v>40435.467459987172</v>
      </c>
      <c r="H32" s="18">
        <f>IF(F32&gt;=Invoerblad!$C$28,B32,0)</f>
        <v>13478.489153329061</v>
      </c>
      <c r="I32" s="33">
        <f t="shared" si="0"/>
        <v>53913.95661331623</v>
      </c>
      <c r="J32" s="19">
        <f t="shared" si="1"/>
        <v>9596.6842771702886</v>
      </c>
      <c r="K32" s="34">
        <f t="shared" si="2"/>
        <v>44317.272336145943</v>
      </c>
      <c r="L32" s="18">
        <f>L31*(1+Invoerblad!$C$27)</f>
        <v>111924.07478374975</v>
      </c>
      <c r="M32" s="34">
        <f t="shared" si="3"/>
        <v>-67606.802447603812</v>
      </c>
      <c r="N32" s="42">
        <f t="shared" si="4"/>
        <v>0</v>
      </c>
      <c r="O32" s="3"/>
      <c r="P32" s="34">
        <f t="shared" si="13"/>
        <v>131240.84883527641</v>
      </c>
      <c r="Q32" s="19">
        <f t="shared" si="14"/>
        <v>-67606.802447603812</v>
      </c>
      <c r="R32" s="34">
        <f t="shared" si="5"/>
        <v>63634.046387672599</v>
      </c>
      <c r="S32" s="19">
        <f>((P32+R32)/2)*Invoerblad!$C$26</f>
        <v>3897.4979044589804</v>
      </c>
      <c r="T32" s="34">
        <f t="shared" si="6"/>
        <v>67531.544292131584</v>
      </c>
      <c r="V32" s="1">
        <f>V31*(1+Invoerblad!$C$27)</f>
        <v>72532.396663609004</v>
      </c>
      <c r="W32" s="2">
        <f t="shared" si="15"/>
        <v>0.35749999999999998</v>
      </c>
      <c r="X32" s="1">
        <f>X31*(1+Invoerblad!$C$27)</f>
        <v>146295.95814983934</v>
      </c>
      <c r="Y32" s="2">
        <f t="shared" si="16"/>
        <v>0.37559999999999999</v>
      </c>
      <c r="Z32" s="2">
        <f t="shared" si="17"/>
        <v>0.495</v>
      </c>
      <c r="AB32" s="3">
        <f t="shared" si="18"/>
        <v>72532.396663609004</v>
      </c>
      <c r="AC32" s="2">
        <f t="shared" si="19"/>
        <v>0.17799999999999999</v>
      </c>
      <c r="AD32" s="3">
        <f t="shared" si="20"/>
        <v>146295.95814983934</v>
      </c>
      <c r="AE32" s="2">
        <f t="shared" si="21"/>
        <v>0.37559999999999999</v>
      </c>
      <c r="AF32" s="2">
        <f t="shared" si="22"/>
        <v>0.495</v>
      </c>
      <c r="AH32" s="3">
        <f t="shared" si="7"/>
        <v>53913.95661331623</v>
      </c>
      <c r="AI32" s="3">
        <f t="shared" si="8"/>
        <v>53913.95661331623</v>
      </c>
      <c r="AJ32" s="3">
        <f t="shared" si="9"/>
        <v>0</v>
      </c>
      <c r="AK32" s="3">
        <f t="shared" si="10"/>
        <v>0</v>
      </c>
      <c r="AL32" s="4">
        <f t="shared" si="11"/>
        <v>9596.6842771702886</v>
      </c>
      <c r="AN32" s="3">
        <f t="shared" si="12"/>
        <v>0</v>
      </c>
    </row>
    <row r="33" spans="1:40" x14ac:dyDescent="0.25">
      <c r="A33">
        <f>A32*(1+Invoerblad!$C$29)</f>
        <v>40839.822134587048</v>
      </c>
      <c r="B33">
        <f>B32*(1+Invoerblad!$C$29)</f>
        <v>13613.274044862352</v>
      </c>
      <c r="E33" s="17">
        <v>2057</v>
      </c>
      <c r="F33" s="17">
        <f t="shared" si="24"/>
        <v>81</v>
      </c>
      <c r="G33" s="18">
        <f>IF(F33&gt;=Invoerblad!$C$28,A33,0)</f>
        <v>40839.822134587048</v>
      </c>
      <c r="H33" s="18">
        <f>IF(F33&gt;=Invoerblad!$C$28,B33,0)</f>
        <v>13613.274044862352</v>
      </c>
      <c r="I33" s="33">
        <f t="shared" si="0"/>
        <v>54453.0961794494</v>
      </c>
      <c r="J33" s="19">
        <f t="shared" si="1"/>
        <v>9692.6511199419929</v>
      </c>
      <c r="K33" s="34">
        <f t="shared" si="2"/>
        <v>44760.445059507409</v>
      </c>
      <c r="L33" s="18">
        <f>L32*(1+Invoerblad!$C$27)</f>
        <v>114274.48035420848</v>
      </c>
      <c r="M33" s="34">
        <f t="shared" si="3"/>
        <v>-69514.035294701083</v>
      </c>
      <c r="N33" s="42">
        <f t="shared" si="4"/>
        <v>0</v>
      </c>
      <c r="O33" s="3"/>
      <c r="P33" s="34">
        <f t="shared" si="13"/>
        <v>67531.544292131584</v>
      </c>
      <c r="Q33" s="19">
        <f t="shared" si="14"/>
        <v>-69514.035294701083</v>
      </c>
      <c r="R33" s="34">
        <f t="shared" si="5"/>
        <v>0</v>
      </c>
      <c r="S33" s="19">
        <f>((P33+R33)/2)*Invoerblad!$C$26</f>
        <v>1350.6308858426316</v>
      </c>
      <c r="T33" s="34">
        <f t="shared" si="6"/>
        <v>1350.6308858426316</v>
      </c>
      <c r="V33" s="1">
        <f>V32*(1+Invoerblad!$C$27)</f>
        <v>74055.57699354479</v>
      </c>
      <c r="W33" s="2">
        <f t="shared" si="15"/>
        <v>0.35749999999999998</v>
      </c>
      <c r="X33" s="1">
        <f>X32*(1+Invoerblad!$C$27)</f>
        <v>149368.17327098595</v>
      </c>
      <c r="Y33" s="2">
        <f t="shared" si="16"/>
        <v>0.37559999999999999</v>
      </c>
      <c r="Z33" s="2">
        <f t="shared" si="17"/>
        <v>0.495</v>
      </c>
      <c r="AB33" s="3">
        <f t="shared" si="18"/>
        <v>74055.57699354479</v>
      </c>
      <c r="AC33" s="2">
        <f t="shared" si="19"/>
        <v>0.17799999999999999</v>
      </c>
      <c r="AD33" s="3">
        <f t="shared" si="20"/>
        <v>149368.17327098595</v>
      </c>
      <c r="AE33" s="2">
        <f t="shared" si="21"/>
        <v>0.37559999999999999</v>
      </c>
      <c r="AF33" s="2">
        <f t="shared" si="22"/>
        <v>0.495</v>
      </c>
      <c r="AH33" s="3">
        <f t="shared" si="7"/>
        <v>54453.0961794494</v>
      </c>
      <c r="AI33" s="3">
        <f t="shared" si="8"/>
        <v>54453.0961794494</v>
      </c>
      <c r="AJ33" s="3">
        <f t="shared" si="9"/>
        <v>0</v>
      </c>
      <c r="AK33" s="3">
        <f t="shared" si="10"/>
        <v>0</v>
      </c>
      <c r="AL33" s="4">
        <f t="shared" si="11"/>
        <v>9692.6511199419929</v>
      </c>
      <c r="AN33" s="3">
        <f t="shared" si="12"/>
        <v>0</v>
      </c>
    </row>
    <row r="34" spans="1:40" x14ac:dyDescent="0.25">
      <c r="A34">
        <f>A33*(1+Invoerblad!$C$29)</f>
        <v>41248.220355932921</v>
      </c>
      <c r="B34">
        <f>B33*(1+Invoerblad!$C$29)</f>
        <v>13749.406785310975</v>
      </c>
      <c r="E34" s="17">
        <v>2058</v>
      </c>
      <c r="F34" s="17">
        <f t="shared" si="24"/>
        <v>82</v>
      </c>
      <c r="G34" s="18">
        <f>IF(F34&gt;=Invoerblad!$C$28,A34,0)</f>
        <v>41248.220355932921</v>
      </c>
      <c r="H34" s="18">
        <f>IF(F34&gt;=Invoerblad!$C$28,B34,0)</f>
        <v>13749.406785310975</v>
      </c>
      <c r="I34" s="33">
        <f t="shared" si="0"/>
        <v>54997.627141243895</v>
      </c>
      <c r="J34" s="19">
        <f t="shared" si="1"/>
        <v>9789.577631141412</v>
      </c>
      <c r="K34" s="34">
        <f t="shared" si="2"/>
        <v>45208.049510102486</v>
      </c>
      <c r="L34" s="18">
        <f>L33*(1+Invoerblad!$C$27)</f>
        <v>116674.24444164685</v>
      </c>
      <c r="M34" s="34">
        <f t="shared" si="3"/>
        <v>-71466.194931544363</v>
      </c>
      <c r="N34" s="42">
        <f t="shared" si="4"/>
        <v>0</v>
      </c>
      <c r="O34" s="3"/>
      <c r="P34" s="34">
        <f t="shared" si="13"/>
        <v>1350.6308858426316</v>
      </c>
      <c r="Q34" s="19">
        <f t="shared" si="14"/>
        <v>-71466.194931544363</v>
      </c>
      <c r="R34" s="34">
        <f t="shared" si="5"/>
        <v>0</v>
      </c>
      <c r="S34" s="19">
        <f>((P34+R34)/2)*Invoerblad!$C$26</f>
        <v>27.012617716852635</v>
      </c>
      <c r="T34" s="34">
        <f t="shared" si="6"/>
        <v>27.012617716852635</v>
      </c>
      <c r="V34" s="1">
        <f>V33*(1+Invoerblad!$C$27)</f>
        <v>75610.744110409229</v>
      </c>
      <c r="W34" s="2">
        <f t="shared" si="15"/>
        <v>0.35749999999999998</v>
      </c>
      <c r="X34" s="1">
        <f>X33*(1+Invoerblad!$C$27)</f>
        <v>152504.90490967664</v>
      </c>
      <c r="Y34" s="2">
        <f t="shared" si="16"/>
        <v>0.37559999999999999</v>
      </c>
      <c r="Z34" s="2">
        <f t="shared" si="17"/>
        <v>0.495</v>
      </c>
      <c r="AB34" s="3">
        <f t="shared" si="18"/>
        <v>75610.744110409229</v>
      </c>
      <c r="AC34" s="2">
        <f t="shared" si="19"/>
        <v>0.17799999999999999</v>
      </c>
      <c r="AD34" s="3">
        <f t="shared" si="20"/>
        <v>152504.90490967664</v>
      </c>
      <c r="AE34" s="2">
        <f t="shared" si="21"/>
        <v>0.37559999999999999</v>
      </c>
      <c r="AF34" s="2">
        <f t="shared" si="22"/>
        <v>0.495</v>
      </c>
      <c r="AH34" s="3">
        <f t="shared" si="7"/>
        <v>54997.627141243895</v>
      </c>
      <c r="AI34" s="3">
        <f t="shared" si="8"/>
        <v>54997.627141243895</v>
      </c>
      <c r="AJ34" s="3">
        <f t="shared" si="9"/>
        <v>0</v>
      </c>
      <c r="AK34" s="3">
        <f t="shared" si="10"/>
        <v>0</v>
      </c>
      <c r="AL34" s="4">
        <f t="shared" si="11"/>
        <v>9789.577631141412</v>
      </c>
      <c r="AN34" s="3">
        <f t="shared" si="12"/>
        <v>0</v>
      </c>
    </row>
    <row r="35" spans="1:40" x14ac:dyDescent="0.25">
      <c r="A35">
        <f>A34*(1+Invoerblad!$C$29)</f>
        <v>41660.702559492252</v>
      </c>
      <c r="B35">
        <f>B34*(1+Invoerblad!$C$29)</f>
        <v>13886.900853164085</v>
      </c>
      <c r="E35" s="17">
        <v>2059</v>
      </c>
      <c r="F35" s="17">
        <f t="shared" si="24"/>
        <v>83</v>
      </c>
      <c r="G35" s="18">
        <f>IF(F35&gt;=Invoerblad!$C$28,A35,0)</f>
        <v>41660.702559492252</v>
      </c>
      <c r="H35" s="18">
        <f>IF(F35&gt;=Invoerblad!$C$28,B35,0)</f>
        <v>13886.900853164085</v>
      </c>
      <c r="I35" s="33">
        <f t="shared" si="0"/>
        <v>55547.603412656339</v>
      </c>
      <c r="J35" s="19">
        <f t="shared" si="1"/>
        <v>9887.4734074528278</v>
      </c>
      <c r="K35" s="34">
        <f t="shared" si="2"/>
        <v>45660.130005203508</v>
      </c>
      <c r="L35" s="18">
        <f>L34*(1+Invoerblad!$C$27)</f>
        <v>119124.40357492142</v>
      </c>
      <c r="M35" s="34">
        <f t="shared" si="3"/>
        <v>-73464.273569717916</v>
      </c>
      <c r="N35" s="42">
        <f t="shared" si="4"/>
        <v>0</v>
      </c>
      <c r="O35" s="3"/>
      <c r="P35" s="34">
        <f t="shared" si="13"/>
        <v>27.012617716852635</v>
      </c>
      <c r="Q35" s="19">
        <f t="shared" si="14"/>
        <v>-73464.273569717916</v>
      </c>
      <c r="R35" s="34">
        <f t="shared" si="5"/>
        <v>0</v>
      </c>
      <c r="S35" s="19">
        <f>((P35+R35)/2)*Invoerblad!$C$26</f>
        <v>0.54025235433705265</v>
      </c>
      <c r="T35" s="34">
        <f t="shared" si="6"/>
        <v>0.54025235433705265</v>
      </c>
      <c r="V35" s="1">
        <f>V34*(1+Invoerblad!$C$27)</f>
        <v>77198.569736727819</v>
      </c>
      <c r="W35" s="2">
        <f t="shared" si="15"/>
        <v>0.35749999999999998</v>
      </c>
      <c r="X35" s="1">
        <f>X34*(1+Invoerblad!$C$27)</f>
        <v>155707.50791277984</v>
      </c>
      <c r="Y35" s="2">
        <f t="shared" si="16"/>
        <v>0.37559999999999999</v>
      </c>
      <c r="Z35" s="2">
        <f t="shared" si="17"/>
        <v>0.495</v>
      </c>
      <c r="AB35" s="3">
        <f t="shared" si="18"/>
        <v>77198.569736727819</v>
      </c>
      <c r="AC35" s="2">
        <f t="shared" si="19"/>
        <v>0.17799999999999999</v>
      </c>
      <c r="AD35" s="3">
        <f t="shared" si="20"/>
        <v>155707.50791277984</v>
      </c>
      <c r="AE35" s="2">
        <f t="shared" si="21"/>
        <v>0.37559999999999999</v>
      </c>
      <c r="AF35" s="2">
        <f t="shared" si="22"/>
        <v>0.495</v>
      </c>
      <c r="AH35" s="3">
        <f t="shared" si="7"/>
        <v>55547.603412656339</v>
      </c>
      <c r="AI35" s="3">
        <f t="shared" si="8"/>
        <v>55547.603412656339</v>
      </c>
      <c r="AJ35" s="3">
        <f t="shared" si="9"/>
        <v>0</v>
      </c>
      <c r="AK35" s="3">
        <f t="shared" si="10"/>
        <v>0</v>
      </c>
      <c r="AL35" s="4">
        <f t="shared" si="11"/>
        <v>9887.4734074528278</v>
      </c>
      <c r="AN35" s="3">
        <f t="shared" si="12"/>
        <v>0</v>
      </c>
    </row>
    <row r="36" spans="1:40" x14ac:dyDescent="0.25">
      <c r="A36">
        <f>A35*(1+Invoerblad!$C$29)</f>
        <v>42077.309585087176</v>
      </c>
      <c r="B36">
        <f>B35*(1+Invoerblad!$C$29)</f>
        <v>14025.769861695726</v>
      </c>
      <c r="E36" s="17">
        <v>2060</v>
      </c>
      <c r="F36" s="17">
        <f t="shared" si="24"/>
        <v>84</v>
      </c>
      <c r="G36" s="18">
        <f>IF(F36&gt;=Invoerblad!$C$28,A36,0)</f>
        <v>42077.309585087176</v>
      </c>
      <c r="H36" s="18">
        <f>IF(F36&gt;=Invoerblad!$C$28,B36,0)</f>
        <v>14025.769861695726</v>
      </c>
      <c r="I36" s="33">
        <f t="shared" si="0"/>
        <v>56103.079446782904</v>
      </c>
      <c r="J36" s="19">
        <f t="shared" si="1"/>
        <v>9986.3481415273563</v>
      </c>
      <c r="K36" s="34">
        <f t="shared" si="2"/>
        <v>46116.731305255547</v>
      </c>
      <c r="L36" s="18">
        <f>L35*(1+Invoerblad!$C$27)</f>
        <v>121626.01604999477</v>
      </c>
      <c r="M36" s="34">
        <f t="shared" si="3"/>
        <v>-75509.284744739212</v>
      </c>
      <c r="N36" s="42">
        <f t="shared" si="4"/>
        <v>0</v>
      </c>
      <c r="O36" s="3"/>
      <c r="P36" s="34">
        <f t="shared" si="13"/>
        <v>0.54025235433705265</v>
      </c>
      <c r="Q36" s="19">
        <f t="shared" si="14"/>
        <v>-75509.284744739212</v>
      </c>
      <c r="R36" s="34">
        <f t="shared" si="5"/>
        <v>0</v>
      </c>
      <c r="S36" s="19">
        <f>((P36+R36)/2)*Invoerblad!$C$26</f>
        <v>1.0805047086741053E-2</v>
      </c>
      <c r="T36" s="34">
        <f t="shared" si="6"/>
        <v>1.0805047086741053E-2</v>
      </c>
      <c r="V36" s="1">
        <f>V35*(1+Invoerblad!$C$27)</f>
        <v>78819.739701199098</v>
      </c>
      <c r="W36" s="2">
        <f t="shared" si="15"/>
        <v>0.35749999999999998</v>
      </c>
      <c r="X36" s="1">
        <f>X35*(1+Invoerblad!$C$27)</f>
        <v>158977.3655789482</v>
      </c>
      <c r="Y36" s="2">
        <f t="shared" si="16"/>
        <v>0.37559999999999999</v>
      </c>
      <c r="Z36" s="2">
        <f t="shared" si="17"/>
        <v>0.495</v>
      </c>
      <c r="AB36" s="3">
        <f t="shared" si="18"/>
        <v>78819.739701199098</v>
      </c>
      <c r="AC36" s="2">
        <f t="shared" si="19"/>
        <v>0.17799999999999999</v>
      </c>
      <c r="AD36" s="3">
        <f t="shared" si="20"/>
        <v>158977.3655789482</v>
      </c>
      <c r="AE36" s="2">
        <f t="shared" si="21"/>
        <v>0.37559999999999999</v>
      </c>
      <c r="AF36" s="2">
        <f t="shared" si="22"/>
        <v>0.495</v>
      </c>
      <c r="AH36" s="3">
        <f t="shared" si="7"/>
        <v>56103.079446782904</v>
      </c>
      <c r="AI36" s="3">
        <f t="shared" si="8"/>
        <v>56103.079446782904</v>
      </c>
      <c r="AJ36" s="3">
        <f t="shared" si="9"/>
        <v>0</v>
      </c>
      <c r="AK36" s="3">
        <f t="shared" si="10"/>
        <v>0</v>
      </c>
      <c r="AL36" s="4">
        <f t="shared" si="11"/>
        <v>9986.3481415273563</v>
      </c>
      <c r="AN36" s="3">
        <f t="shared" si="12"/>
        <v>0</v>
      </c>
    </row>
    <row r="37" spans="1:40" x14ac:dyDescent="0.25">
      <c r="A37">
        <f>A36*(1+Invoerblad!$C$29)</f>
        <v>42498.082680938045</v>
      </c>
      <c r="B37">
        <f>B36*(1+Invoerblad!$C$29)</f>
        <v>14166.027560312683</v>
      </c>
      <c r="E37" s="17">
        <v>2061</v>
      </c>
      <c r="F37" s="17">
        <f t="shared" si="24"/>
        <v>85</v>
      </c>
      <c r="G37" s="18">
        <f>IF(F37&gt;=Invoerblad!$C$28,A37,0)</f>
        <v>42498.082680938045</v>
      </c>
      <c r="H37" s="18">
        <f>IF(F37&gt;=Invoerblad!$C$28,B37,0)</f>
        <v>14166.027560312683</v>
      </c>
      <c r="I37" s="33">
        <f t="shared" si="0"/>
        <v>56664.110241250732</v>
      </c>
      <c r="J37" s="19">
        <f t="shared" si="1"/>
        <v>10086.21162294263</v>
      </c>
      <c r="K37" s="34">
        <f t="shared" si="2"/>
        <v>46577.8986183081</v>
      </c>
      <c r="L37" s="18">
        <f>L36*(1+Invoerblad!$C$27)</f>
        <v>124180.16238704465</v>
      </c>
      <c r="M37" s="34">
        <f t="shared" si="3"/>
        <v>-77602.26376873655</v>
      </c>
      <c r="N37" s="42">
        <f t="shared" si="4"/>
        <v>0</v>
      </c>
      <c r="O37" s="3"/>
      <c r="P37" s="34">
        <f t="shared" si="13"/>
        <v>1.0805047086741053E-2</v>
      </c>
      <c r="Q37" s="19">
        <f t="shared" si="14"/>
        <v>-77602.26376873655</v>
      </c>
      <c r="R37" s="34">
        <f t="shared" si="5"/>
        <v>0</v>
      </c>
      <c r="S37" s="19">
        <f>((P37+R37)/2)*Invoerblad!$C$26</f>
        <v>2.1610094173482109E-4</v>
      </c>
      <c r="T37" s="34">
        <f t="shared" si="6"/>
        <v>2.1610094173482109E-4</v>
      </c>
      <c r="V37" s="1">
        <f>V36*(1+Invoerblad!$C$27)</f>
        <v>80474.954234924269</v>
      </c>
      <c r="W37" s="2">
        <f t="shared" si="15"/>
        <v>0.35749999999999998</v>
      </c>
      <c r="X37" s="1">
        <f>X36*(1+Invoerblad!$C$27)</f>
        <v>162315.8902561061</v>
      </c>
      <c r="Y37" s="2">
        <f t="shared" si="16"/>
        <v>0.37559999999999999</v>
      </c>
      <c r="Z37" s="2">
        <f t="shared" si="17"/>
        <v>0.495</v>
      </c>
      <c r="AB37" s="3">
        <f t="shared" si="18"/>
        <v>80474.954234924269</v>
      </c>
      <c r="AC37" s="2">
        <f t="shared" si="19"/>
        <v>0.17799999999999999</v>
      </c>
      <c r="AD37" s="3">
        <f t="shared" si="20"/>
        <v>162315.8902561061</v>
      </c>
      <c r="AE37" s="2">
        <f t="shared" si="21"/>
        <v>0.37559999999999999</v>
      </c>
      <c r="AF37" s="2">
        <f t="shared" si="22"/>
        <v>0.495</v>
      </c>
      <c r="AH37" s="3">
        <f t="shared" si="7"/>
        <v>56664.110241250732</v>
      </c>
      <c r="AI37" s="3">
        <f t="shared" si="8"/>
        <v>56664.110241250732</v>
      </c>
      <c r="AJ37" s="3">
        <f t="shared" si="9"/>
        <v>0</v>
      </c>
      <c r="AK37" s="3">
        <f t="shared" si="10"/>
        <v>0</v>
      </c>
      <c r="AL37" s="4">
        <f t="shared" si="11"/>
        <v>10086.21162294263</v>
      </c>
      <c r="AN37" s="3">
        <f t="shared" si="12"/>
        <v>0</v>
      </c>
    </row>
    <row r="38" spans="1:40" x14ac:dyDescent="0.25">
      <c r="A38">
        <f>A37*(1+Invoerblad!$C$29)</f>
        <v>42923.063507747429</v>
      </c>
      <c r="B38">
        <f>B37*(1+Invoerblad!$C$29)</f>
        <v>14307.687835915809</v>
      </c>
      <c r="E38" s="17">
        <v>2062</v>
      </c>
      <c r="F38" s="17">
        <f t="shared" si="24"/>
        <v>86</v>
      </c>
      <c r="G38" s="18">
        <f>IF(F38&gt;=Invoerblad!$C$28,A38,0)</f>
        <v>42923.063507747429</v>
      </c>
      <c r="H38" s="18">
        <f>IF(F38&gt;=Invoerblad!$C$28,B38,0)</f>
        <v>14307.687835915809</v>
      </c>
      <c r="I38" s="33">
        <f t="shared" si="0"/>
        <v>57230.751343663236</v>
      </c>
      <c r="J38" s="19">
        <f t="shared" si="1"/>
        <v>10187.073739172056</v>
      </c>
      <c r="K38" s="34">
        <f t="shared" si="2"/>
        <v>47043.677604491182</v>
      </c>
      <c r="L38" s="18">
        <f>L37*(1+Invoerblad!$C$27)</f>
        <v>126787.94579717258</v>
      </c>
      <c r="M38" s="34">
        <f t="shared" si="3"/>
        <v>-79744.268192681397</v>
      </c>
      <c r="N38" s="42">
        <f t="shared" si="4"/>
        <v>0</v>
      </c>
      <c r="O38" s="3"/>
      <c r="P38" s="34">
        <f t="shared" si="13"/>
        <v>2.1610094173482109E-4</v>
      </c>
      <c r="Q38" s="19">
        <f t="shared" si="14"/>
        <v>-79744.268192681397</v>
      </c>
      <c r="R38" s="34">
        <f t="shared" si="5"/>
        <v>0</v>
      </c>
      <c r="S38" s="19">
        <f>((P38+R38)/2)*Invoerblad!$C$26</f>
        <v>4.3220188346964218E-6</v>
      </c>
      <c r="T38" s="34">
        <f t="shared" si="6"/>
        <v>4.3220188346964218E-6</v>
      </c>
      <c r="V38" s="1">
        <f>V37*(1+Invoerblad!$C$27)</f>
        <v>82164.928273857673</v>
      </c>
      <c r="W38" s="2">
        <f t="shared" si="15"/>
        <v>0.35749999999999998</v>
      </c>
      <c r="X38" s="1">
        <f>X37*(1+Invoerblad!$C$27)</f>
        <v>165724.5239514843</v>
      </c>
      <c r="Y38" s="2">
        <f t="shared" si="16"/>
        <v>0.37559999999999999</v>
      </c>
      <c r="Z38" s="2">
        <f t="shared" si="17"/>
        <v>0.495</v>
      </c>
      <c r="AB38" s="3">
        <f t="shared" si="18"/>
        <v>82164.928273857673</v>
      </c>
      <c r="AC38" s="2">
        <f t="shared" si="19"/>
        <v>0.17799999999999999</v>
      </c>
      <c r="AD38" s="3">
        <f t="shared" si="20"/>
        <v>165724.5239514843</v>
      </c>
      <c r="AE38" s="2">
        <f t="shared" si="21"/>
        <v>0.37559999999999999</v>
      </c>
      <c r="AF38" s="2">
        <f t="shared" si="22"/>
        <v>0.495</v>
      </c>
      <c r="AH38" s="3">
        <f t="shared" si="7"/>
        <v>57230.751343663236</v>
      </c>
      <c r="AI38" s="3">
        <f t="shared" si="8"/>
        <v>57230.751343663236</v>
      </c>
      <c r="AJ38" s="3">
        <f t="shared" si="9"/>
        <v>0</v>
      </c>
      <c r="AK38" s="3">
        <f t="shared" si="10"/>
        <v>0</v>
      </c>
      <c r="AL38" s="4">
        <f t="shared" si="11"/>
        <v>10187.073739172056</v>
      </c>
      <c r="AN38" s="3">
        <f t="shared" si="12"/>
        <v>0</v>
      </c>
    </row>
    <row r="39" spans="1:40" x14ac:dyDescent="0.25">
      <c r="A39">
        <f>A38*(1+Invoerblad!$C$29)</f>
        <v>43352.294142824903</v>
      </c>
      <c r="B39">
        <f>B38*(1+Invoerblad!$C$29)</f>
        <v>14450.764714274967</v>
      </c>
      <c r="E39" s="17">
        <v>2063</v>
      </c>
      <c r="F39" s="17">
        <f t="shared" si="24"/>
        <v>87</v>
      </c>
      <c r="G39" s="18">
        <f>IF(F39&gt;=Invoerblad!$C$28,A39,0)</f>
        <v>43352.294142824903</v>
      </c>
      <c r="H39" s="18">
        <f>IF(F39&gt;=Invoerblad!$C$28,B39,0)</f>
        <v>14450.764714274967</v>
      </c>
      <c r="I39" s="33">
        <f t="shared" si="0"/>
        <v>57803.058857099866</v>
      </c>
      <c r="J39" s="19">
        <f t="shared" si="1"/>
        <v>10288.944476563776</v>
      </c>
      <c r="K39" s="34">
        <f t="shared" si="2"/>
        <v>47514.114380536092</v>
      </c>
      <c r="L39" s="18">
        <f>L38*(1+Invoerblad!$C$27)</f>
        <v>129450.49265891319</v>
      </c>
      <c r="M39" s="34">
        <f t="shared" si="3"/>
        <v>-81936.378278377102</v>
      </c>
      <c r="N39" s="42">
        <f t="shared" si="4"/>
        <v>0</v>
      </c>
      <c r="O39" s="3"/>
      <c r="P39" s="34">
        <f t="shared" si="13"/>
        <v>4.3220188346964218E-6</v>
      </c>
      <c r="Q39" s="19">
        <f t="shared" si="14"/>
        <v>-81936.378278377102</v>
      </c>
      <c r="R39" s="34">
        <f t="shared" si="5"/>
        <v>0</v>
      </c>
      <c r="S39" s="19">
        <f>((P39+R39)/2)*Invoerblad!$C$26</f>
        <v>8.6440376693928433E-8</v>
      </c>
      <c r="T39" s="34">
        <f t="shared" si="6"/>
        <v>8.6440376693928433E-8</v>
      </c>
      <c r="V39" s="1">
        <f>V38*(1+Invoerblad!$C$27)</f>
        <v>83890.391767608671</v>
      </c>
      <c r="W39" s="2">
        <f t="shared" si="15"/>
        <v>0.35749999999999998</v>
      </c>
      <c r="X39" s="1">
        <f>X38*(1+Invoerblad!$C$27)</f>
        <v>169204.73895446546</v>
      </c>
      <c r="Y39" s="2">
        <f t="shared" si="16"/>
        <v>0.37559999999999999</v>
      </c>
      <c r="Z39" s="2">
        <f t="shared" si="17"/>
        <v>0.495</v>
      </c>
      <c r="AB39" s="3">
        <f t="shared" si="18"/>
        <v>83890.391767608671</v>
      </c>
      <c r="AC39" s="2">
        <f t="shared" si="19"/>
        <v>0.17799999999999999</v>
      </c>
      <c r="AD39" s="3">
        <f t="shared" si="20"/>
        <v>169204.73895446546</v>
      </c>
      <c r="AE39" s="2">
        <f t="shared" si="21"/>
        <v>0.37559999999999999</v>
      </c>
      <c r="AF39" s="2">
        <f t="shared" si="22"/>
        <v>0.495</v>
      </c>
      <c r="AH39" s="3">
        <f t="shared" si="7"/>
        <v>57803.058857099866</v>
      </c>
      <c r="AI39" s="3">
        <f t="shared" si="8"/>
        <v>57803.058857099866</v>
      </c>
      <c r="AJ39" s="3">
        <f t="shared" si="9"/>
        <v>0</v>
      </c>
      <c r="AK39" s="3">
        <f t="shared" si="10"/>
        <v>0</v>
      </c>
      <c r="AL39" s="4">
        <f t="shared" si="11"/>
        <v>10288.944476563776</v>
      </c>
      <c r="AN39" s="3">
        <f t="shared" si="12"/>
        <v>0</v>
      </c>
    </row>
    <row r="40" spans="1:40" x14ac:dyDescent="0.25">
      <c r="A40">
        <f>A39*(1+Invoerblad!$C$29)</f>
        <v>43785.817084253154</v>
      </c>
      <c r="B40">
        <f>B39*(1+Invoerblad!$C$29)</f>
        <v>14595.272361417716</v>
      </c>
      <c r="E40" s="17">
        <v>2064</v>
      </c>
      <c r="F40" s="17">
        <f t="shared" si="24"/>
        <v>88</v>
      </c>
      <c r="G40" s="18">
        <f>IF(F40&gt;=Invoerblad!$C$28,A40,0)</f>
        <v>43785.817084253154</v>
      </c>
      <c r="H40" s="18">
        <f>IF(F40&gt;=Invoerblad!$C$28,B40,0)</f>
        <v>14595.272361417716</v>
      </c>
      <c r="I40" s="33">
        <f t="shared" si="0"/>
        <v>58381.08944567087</v>
      </c>
      <c r="J40" s="19">
        <f t="shared" si="1"/>
        <v>10391.833921329415</v>
      </c>
      <c r="K40" s="34">
        <f t="shared" si="2"/>
        <v>47989.255524341454</v>
      </c>
      <c r="L40" s="18">
        <f>L39*(1+Invoerblad!$C$27)</f>
        <v>132168.95300475036</v>
      </c>
      <c r="M40" s="34">
        <f t="shared" si="3"/>
        <v>-84179.697480408911</v>
      </c>
      <c r="N40" s="42">
        <f t="shared" si="4"/>
        <v>0</v>
      </c>
      <c r="O40" s="3"/>
      <c r="P40" s="34">
        <f t="shared" si="13"/>
        <v>8.6440376693928433E-8</v>
      </c>
      <c r="Q40" s="19">
        <f t="shared" si="14"/>
        <v>-84179.697480408911</v>
      </c>
      <c r="R40" s="34">
        <f t="shared" si="5"/>
        <v>0</v>
      </c>
      <c r="S40" s="19">
        <f>((P40+R40)/2)*Invoerblad!$C$26</f>
        <v>1.7288075338785687E-9</v>
      </c>
      <c r="T40" s="34">
        <f t="shared" si="6"/>
        <v>1.7288075338785687E-9</v>
      </c>
      <c r="V40" s="1">
        <f>V39*(1+Invoerblad!$C$27)</f>
        <v>85652.089994728449</v>
      </c>
      <c r="W40" s="2">
        <f t="shared" si="15"/>
        <v>0.35749999999999998</v>
      </c>
      <c r="X40" s="1">
        <f>X39*(1+Invoerblad!$C$27)</f>
        <v>172758.03847250922</v>
      </c>
      <c r="Y40" s="2">
        <f t="shared" si="16"/>
        <v>0.37559999999999999</v>
      </c>
      <c r="Z40" s="2">
        <f t="shared" si="17"/>
        <v>0.495</v>
      </c>
      <c r="AB40" s="3">
        <f t="shared" si="18"/>
        <v>85652.089994728449</v>
      </c>
      <c r="AC40" s="2">
        <f t="shared" si="19"/>
        <v>0.17799999999999999</v>
      </c>
      <c r="AD40" s="3">
        <f t="shared" si="20"/>
        <v>172758.03847250922</v>
      </c>
      <c r="AE40" s="2">
        <f t="shared" si="21"/>
        <v>0.37559999999999999</v>
      </c>
      <c r="AF40" s="2">
        <f t="shared" si="22"/>
        <v>0.495</v>
      </c>
      <c r="AH40" s="3">
        <f t="shared" si="7"/>
        <v>58381.08944567087</v>
      </c>
      <c r="AI40" s="3">
        <f t="shared" si="8"/>
        <v>58381.08944567087</v>
      </c>
      <c r="AJ40" s="3">
        <f t="shared" si="9"/>
        <v>0</v>
      </c>
      <c r="AK40" s="3">
        <f t="shared" si="10"/>
        <v>0</v>
      </c>
      <c r="AL40" s="4">
        <f t="shared" si="11"/>
        <v>10391.833921329415</v>
      </c>
      <c r="AN40" s="3">
        <f t="shared" si="12"/>
        <v>0</v>
      </c>
    </row>
    <row r="41" spans="1:40" x14ac:dyDescent="0.25">
      <c r="A41">
        <f>A40*(1+Invoerblad!$C$29)</f>
        <v>44223.675255095688</v>
      </c>
      <c r="B41">
        <f>B40*(1+Invoerblad!$C$29)</f>
        <v>14741.225085031892</v>
      </c>
      <c r="E41" s="17">
        <v>2065</v>
      </c>
      <c r="F41" s="17">
        <f t="shared" si="24"/>
        <v>89</v>
      </c>
      <c r="G41" s="18">
        <f>IF(F41&gt;=Invoerblad!$C$28,A41,0)</f>
        <v>44223.675255095688</v>
      </c>
      <c r="H41" s="18">
        <f>IF(F41&gt;=Invoerblad!$C$28,B41,0)</f>
        <v>14741.225085031892</v>
      </c>
      <c r="I41" s="33">
        <f t="shared" si="0"/>
        <v>58964.900340127584</v>
      </c>
      <c r="J41" s="19">
        <f t="shared" si="1"/>
        <v>10495.752260542709</v>
      </c>
      <c r="K41" s="34">
        <f t="shared" si="2"/>
        <v>48469.148079584877</v>
      </c>
      <c r="L41" s="18">
        <f>L40*(1+Invoerblad!$C$27)</f>
        <v>134944.5010178501</v>
      </c>
      <c r="M41" s="34">
        <f t="shared" si="3"/>
        <v>-86475.35293826522</v>
      </c>
      <c r="N41" s="42">
        <f t="shared" si="4"/>
        <v>0</v>
      </c>
      <c r="O41" s="3"/>
      <c r="P41" s="34">
        <f t="shared" si="13"/>
        <v>1.7288075338785687E-9</v>
      </c>
      <c r="Q41" s="19">
        <f t="shared" si="14"/>
        <v>-86475.35293826522</v>
      </c>
      <c r="R41" s="34">
        <f t="shared" si="5"/>
        <v>0</v>
      </c>
      <c r="S41" s="19">
        <f>((P41+R41)/2)*Invoerblad!$C$26</f>
        <v>3.4576150677571375E-11</v>
      </c>
      <c r="T41" s="34">
        <f t="shared" si="6"/>
        <v>3.4576150677571375E-11</v>
      </c>
      <c r="V41" s="1">
        <f>V40*(1+Invoerblad!$C$27)</f>
        <v>87450.783884617733</v>
      </c>
      <c r="W41" s="2">
        <f t="shared" si="15"/>
        <v>0.35749999999999998</v>
      </c>
      <c r="X41" s="1">
        <f>X40*(1+Invoerblad!$C$27)</f>
        <v>176385.9572804319</v>
      </c>
      <c r="Y41" s="2">
        <f t="shared" si="16"/>
        <v>0.37559999999999999</v>
      </c>
      <c r="Z41" s="2">
        <f t="shared" si="17"/>
        <v>0.495</v>
      </c>
      <c r="AB41" s="3">
        <f t="shared" si="18"/>
        <v>87450.783884617733</v>
      </c>
      <c r="AC41" s="2">
        <f t="shared" si="19"/>
        <v>0.17799999999999999</v>
      </c>
      <c r="AD41" s="3">
        <f t="shared" si="20"/>
        <v>176385.9572804319</v>
      </c>
      <c r="AE41" s="2">
        <f t="shared" si="21"/>
        <v>0.37559999999999999</v>
      </c>
      <c r="AF41" s="2">
        <f t="shared" si="22"/>
        <v>0.495</v>
      </c>
      <c r="AH41" s="3">
        <f t="shared" si="7"/>
        <v>58964.900340127584</v>
      </c>
      <c r="AI41" s="3">
        <f t="shared" si="8"/>
        <v>58964.900340127584</v>
      </c>
      <c r="AJ41" s="3">
        <f t="shared" si="9"/>
        <v>0</v>
      </c>
      <c r="AK41" s="3">
        <f t="shared" si="10"/>
        <v>0</v>
      </c>
      <c r="AL41" s="4">
        <f t="shared" si="11"/>
        <v>10495.752260542709</v>
      </c>
      <c r="AN41" s="3">
        <f t="shared" si="12"/>
        <v>0</v>
      </c>
    </row>
    <row r="42" spans="1:40" x14ac:dyDescent="0.25">
      <c r="A42">
        <f>A41*(1+Invoerblad!$C$29)</f>
        <v>44665.912007646642</v>
      </c>
      <c r="B42">
        <f>B41*(1+Invoerblad!$C$29)</f>
        <v>14888.637335882211</v>
      </c>
      <c r="E42" s="17">
        <v>2066</v>
      </c>
      <c r="F42" s="17">
        <f t="shared" si="24"/>
        <v>90</v>
      </c>
      <c r="G42" s="18">
        <f>IF(F42&gt;=Invoerblad!$C$28,A42,0)</f>
        <v>44665.912007646642</v>
      </c>
      <c r="H42" s="18">
        <f>IF(F42&gt;=Invoerblad!$C$28,B42,0)</f>
        <v>14888.637335882211</v>
      </c>
      <c r="I42" s="33">
        <f t="shared" si="0"/>
        <v>59554.549343528852</v>
      </c>
      <c r="J42" s="19">
        <f t="shared" si="1"/>
        <v>10600.709783148135</v>
      </c>
      <c r="K42" s="34">
        <f t="shared" si="2"/>
        <v>48953.839560380715</v>
      </c>
      <c r="L42" s="18">
        <f>L41*(1+Invoerblad!$C$27)</f>
        <v>137778.33553922494</v>
      </c>
      <c r="M42" s="34">
        <f t="shared" si="3"/>
        <v>-88824.495978844221</v>
      </c>
      <c r="N42" s="42">
        <f t="shared" si="4"/>
        <v>0</v>
      </c>
      <c r="O42" s="3"/>
      <c r="P42" s="34">
        <f t="shared" si="13"/>
        <v>3.4576150677571375E-11</v>
      </c>
      <c r="Q42" s="19">
        <f t="shared" si="14"/>
        <v>-88824.495978844221</v>
      </c>
      <c r="R42" s="34">
        <f t="shared" si="5"/>
        <v>0</v>
      </c>
      <c r="S42" s="19">
        <f>((P42+R42)/2)*Invoerblad!$C$26</f>
        <v>6.9152301355142753E-13</v>
      </c>
      <c r="T42" s="34">
        <f t="shared" si="6"/>
        <v>6.9152301355142753E-13</v>
      </c>
      <c r="V42" s="1">
        <f>V41*(1+Invoerblad!$C$27)</f>
        <v>89287.250346194691</v>
      </c>
      <c r="W42" s="2">
        <f t="shared" si="15"/>
        <v>0.35749999999999998</v>
      </c>
      <c r="X42" s="1">
        <f>X41*(1+Invoerblad!$C$27)</f>
        <v>180090.06238332097</v>
      </c>
      <c r="Y42" s="2">
        <f t="shared" si="16"/>
        <v>0.37559999999999999</v>
      </c>
      <c r="Z42" s="2">
        <f t="shared" si="17"/>
        <v>0.495</v>
      </c>
      <c r="AB42" s="3">
        <f t="shared" si="18"/>
        <v>89287.250346194691</v>
      </c>
      <c r="AC42" s="2">
        <f t="shared" si="19"/>
        <v>0.17799999999999999</v>
      </c>
      <c r="AD42" s="3">
        <f t="shared" si="20"/>
        <v>180090.06238332097</v>
      </c>
      <c r="AE42" s="2">
        <f t="shared" si="21"/>
        <v>0.37559999999999999</v>
      </c>
      <c r="AF42" s="2">
        <f t="shared" si="22"/>
        <v>0.495</v>
      </c>
      <c r="AH42" s="3">
        <f t="shared" si="7"/>
        <v>59554.549343528852</v>
      </c>
      <c r="AI42" s="3">
        <f t="shared" si="8"/>
        <v>59554.549343528852</v>
      </c>
      <c r="AJ42" s="3">
        <f t="shared" si="9"/>
        <v>0</v>
      </c>
      <c r="AK42" s="3">
        <f t="shared" si="10"/>
        <v>0</v>
      </c>
      <c r="AL42" s="4">
        <f t="shared" si="11"/>
        <v>10600.709783148135</v>
      </c>
      <c r="AN42" s="3">
        <f t="shared" si="12"/>
        <v>0</v>
      </c>
    </row>
    <row r="43" spans="1:40" x14ac:dyDescent="0.25">
      <c r="A43">
        <f>A42*(1+Invoerblad!$C$29)</f>
        <v>45112.571127723109</v>
      </c>
      <c r="B43">
        <f>B42*(1+Invoerblad!$C$29)</f>
        <v>15037.523709241033</v>
      </c>
      <c r="E43" s="17">
        <v>2067</v>
      </c>
      <c r="F43" s="17">
        <f t="shared" si="24"/>
        <v>91</v>
      </c>
      <c r="G43" s="18">
        <f>IF(F43&gt;=Invoerblad!$C$28,A43,0)</f>
        <v>45112.571127723109</v>
      </c>
      <c r="H43" s="18">
        <f>IF(F43&gt;=Invoerblad!$C$28,B43,0)</f>
        <v>15037.523709241033</v>
      </c>
      <c r="I43" s="33">
        <f t="shared" si="0"/>
        <v>60150.094836964141</v>
      </c>
      <c r="J43" s="19">
        <f t="shared" si="1"/>
        <v>10706.716880979617</v>
      </c>
      <c r="K43" s="34">
        <f t="shared" si="2"/>
        <v>49443.377955984528</v>
      </c>
      <c r="L43" s="18">
        <f>L42*(1+Invoerblad!$C$27)</f>
        <v>140671.68058554866</v>
      </c>
      <c r="M43" s="34">
        <f t="shared" si="3"/>
        <v>-91228.302629564132</v>
      </c>
      <c r="N43" s="42">
        <f t="shared" si="4"/>
        <v>0</v>
      </c>
      <c r="O43" s="3"/>
      <c r="P43" s="34">
        <f t="shared" si="13"/>
        <v>6.9152301355142753E-13</v>
      </c>
      <c r="Q43" s="19">
        <f t="shared" si="14"/>
        <v>-91228.302629564132</v>
      </c>
      <c r="R43" s="34">
        <f t="shared" si="5"/>
        <v>0</v>
      </c>
      <c r="S43" s="19">
        <f>((P43+R43)/2)*Invoerblad!$C$26</f>
        <v>1.383046027102855E-14</v>
      </c>
      <c r="T43" s="34">
        <f t="shared" si="6"/>
        <v>1.383046027102855E-14</v>
      </c>
      <c r="V43" s="1">
        <f>V42*(1+Invoerblad!$C$27)</f>
        <v>91162.282603464773</v>
      </c>
      <c r="W43" s="2">
        <f t="shared" si="15"/>
        <v>0.35749999999999998</v>
      </c>
      <c r="X43" s="1">
        <f>X42*(1+Invoerblad!$C$27)</f>
        <v>183871.95369337068</v>
      </c>
      <c r="Y43" s="2">
        <f t="shared" si="16"/>
        <v>0.37559999999999999</v>
      </c>
      <c r="Z43" s="2">
        <f t="shared" si="17"/>
        <v>0.495</v>
      </c>
      <c r="AB43" s="3">
        <f t="shared" si="18"/>
        <v>91162.282603464773</v>
      </c>
      <c r="AC43" s="2">
        <f t="shared" si="19"/>
        <v>0.17799999999999999</v>
      </c>
      <c r="AD43" s="3">
        <f t="shared" si="20"/>
        <v>183871.95369337068</v>
      </c>
      <c r="AE43" s="2">
        <f t="shared" si="21"/>
        <v>0.37559999999999999</v>
      </c>
      <c r="AF43" s="2">
        <f t="shared" si="22"/>
        <v>0.495</v>
      </c>
      <c r="AH43" s="3">
        <f t="shared" si="7"/>
        <v>60150.094836964141</v>
      </c>
      <c r="AI43" s="3">
        <f t="shared" si="8"/>
        <v>60150.094836964141</v>
      </c>
      <c r="AJ43" s="3">
        <f t="shared" si="9"/>
        <v>0</v>
      </c>
      <c r="AK43" s="3">
        <f t="shared" si="10"/>
        <v>0</v>
      </c>
      <c r="AL43" s="4">
        <f t="shared" si="11"/>
        <v>10706.716880979617</v>
      </c>
      <c r="AN43" s="3">
        <f t="shared" si="12"/>
        <v>0</v>
      </c>
    </row>
    <row r="44" spans="1:40" x14ac:dyDescent="0.25">
      <c r="A44">
        <f>A43*(1+Invoerblad!$C$29)</f>
        <v>45563.696839000339</v>
      </c>
      <c r="B44">
        <f>B43*(1+Invoerblad!$C$29)</f>
        <v>15187.898946333444</v>
      </c>
      <c r="E44" s="17">
        <v>2068</v>
      </c>
      <c r="F44" s="17">
        <f t="shared" si="24"/>
        <v>92</v>
      </c>
      <c r="G44" s="18">
        <f>IF(F44&gt;=Invoerblad!$C$28,A44,0)</f>
        <v>45563.696839000339</v>
      </c>
      <c r="H44" s="18">
        <f>IF(F44&gt;=Invoerblad!$C$28,B44,0)</f>
        <v>15187.898946333444</v>
      </c>
      <c r="I44" s="33">
        <f t="shared" si="0"/>
        <v>60751.595785333782</v>
      </c>
      <c r="J44" s="19">
        <f t="shared" si="1"/>
        <v>10813.784049789412</v>
      </c>
      <c r="K44" s="34">
        <f t="shared" si="2"/>
        <v>49937.811735544368</v>
      </c>
      <c r="L44" s="18">
        <f>L43*(1+Invoerblad!$C$27)</f>
        <v>143625.78587784516</v>
      </c>
      <c r="M44" s="34">
        <f t="shared" si="3"/>
        <v>-93687.974142300794</v>
      </c>
      <c r="N44" s="42">
        <f t="shared" si="4"/>
        <v>0</v>
      </c>
      <c r="O44" s="3"/>
      <c r="P44" s="34">
        <f t="shared" si="13"/>
        <v>1.383046027102855E-14</v>
      </c>
      <c r="Q44" s="19">
        <f t="shared" si="14"/>
        <v>-93687.974142300794</v>
      </c>
      <c r="R44" s="34">
        <f t="shared" si="5"/>
        <v>0</v>
      </c>
      <c r="S44" s="19">
        <f>((P44+R44)/2)*Invoerblad!$C$26</f>
        <v>2.76609205420571E-16</v>
      </c>
      <c r="T44" s="34">
        <f t="shared" si="6"/>
        <v>2.76609205420571E-16</v>
      </c>
      <c r="V44" s="1">
        <f>V43*(1+Invoerblad!$C$27)</f>
        <v>93076.690538137525</v>
      </c>
      <c r="W44" s="2">
        <f t="shared" si="15"/>
        <v>0.35749999999999998</v>
      </c>
      <c r="X44" s="1">
        <f>X43*(1+Invoerblad!$C$27)</f>
        <v>187733.26472093145</v>
      </c>
      <c r="Y44" s="2">
        <f t="shared" si="16"/>
        <v>0.37559999999999999</v>
      </c>
      <c r="Z44" s="2">
        <f t="shared" si="17"/>
        <v>0.495</v>
      </c>
      <c r="AB44" s="3">
        <f t="shared" si="18"/>
        <v>93076.690538137525</v>
      </c>
      <c r="AC44" s="2">
        <f t="shared" si="19"/>
        <v>0.17799999999999999</v>
      </c>
      <c r="AD44" s="3">
        <f t="shared" si="20"/>
        <v>187733.26472093145</v>
      </c>
      <c r="AE44" s="2">
        <f t="shared" si="21"/>
        <v>0.37559999999999999</v>
      </c>
      <c r="AF44" s="2">
        <f t="shared" si="22"/>
        <v>0.495</v>
      </c>
      <c r="AH44" s="3">
        <f t="shared" si="7"/>
        <v>60751.595785333782</v>
      </c>
      <c r="AI44" s="3">
        <f t="shared" si="8"/>
        <v>60751.595785333782</v>
      </c>
      <c r="AJ44" s="3">
        <f t="shared" si="9"/>
        <v>0</v>
      </c>
      <c r="AK44" s="3">
        <f t="shared" si="10"/>
        <v>0</v>
      </c>
      <c r="AL44" s="4">
        <f t="shared" si="11"/>
        <v>10813.784049789412</v>
      </c>
      <c r="AN44" s="3">
        <f t="shared" si="12"/>
        <v>0</v>
      </c>
    </row>
    <row r="45" spans="1:40" x14ac:dyDescent="0.25">
      <c r="A45">
        <f>A44*(1+Invoerblad!$C$29)</f>
        <v>46019.333807390343</v>
      </c>
      <c r="B45">
        <f>B44*(1+Invoerblad!$C$29)</f>
        <v>15339.777935796777</v>
      </c>
      <c r="E45" s="17">
        <v>2069</v>
      </c>
      <c r="F45" s="17">
        <f t="shared" si="24"/>
        <v>93</v>
      </c>
      <c r="G45" s="18">
        <f>IF(F45&gt;=Invoerblad!$C$28,A45,0)</f>
        <v>46019.333807390343</v>
      </c>
      <c r="H45" s="18">
        <f>IF(F45&gt;=Invoerblad!$C$28,B45,0)</f>
        <v>15339.777935796777</v>
      </c>
      <c r="I45" s="33">
        <f t="shared" si="0"/>
        <v>61359.111743187124</v>
      </c>
      <c r="J45" s="19">
        <f t="shared" si="1"/>
        <v>10921.921890287307</v>
      </c>
      <c r="K45" s="34">
        <f t="shared" si="2"/>
        <v>50437.189852899814</v>
      </c>
      <c r="L45" s="18">
        <f>L44*(1+Invoerblad!$C$27)</f>
        <v>146641.92738127991</v>
      </c>
      <c r="M45" s="34">
        <f t="shared" si="3"/>
        <v>-96204.737528380094</v>
      </c>
      <c r="N45" s="42">
        <f t="shared" si="4"/>
        <v>0</v>
      </c>
      <c r="O45" s="3"/>
      <c r="P45" s="34">
        <f t="shared" si="13"/>
        <v>2.76609205420571E-16</v>
      </c>
      <c r="Q45" s="19">
        <f t="shared" si="14"/>
        <v>-96204.737528380094</v>
      </c>
      <c r="R45" s="34">
        <f t="shared" si="5"/>
        <v>0</v>
      </c>
      <c r="S45" s="19">
        <f>((P45+R45)/2)*Invoerblad!$C$26</f>
        <v>5.5321841084114199E-18</v>
      </c>
      <c r="T45" s="34">
        <f t="shared" si="6"/>
        <v>5.5321841084114199E-18</v>
      </c>
      <c r="V45" s="1">
        <f>V44*(1+Invoerblad!$C$27)</f>
        <v>95031.301039438404</v>
      </c>
      <c r="W45" s="2">
        <f t="shared" si="15"/>
        <v>0.35749999999999998</v>
      </c>
      <c r="X45" s="1">
        <f>X44*(1+Invoerblad!$C$27)</f>
        <v>191675.66328007099</v>
      </c>
      <c r="Y45" s="2">
        <f t="shared" si="16"/>
        <v>0.37559999999999999</v>
      </c>
      <c r="Z45" s="2">
        <f t="shared" si="17"/>
        <v>0.495</v>
      </c>
      <c r="AB45" s="3">
        <f t="shared" si="18"/>
        <v>95031.301039438404</v>
      </c>
      <c r="AC45" s="2">
        <f t="shared" si="19"/>
        <v>0.17799999999999999</v>
      </c>
      <c r="AD45" s="3">
        <f t="shared" si="20"/>
        <v>191675.66328007099</v>
      </c>
      <c r="AE45" s="2">
        <f t="shared" si="21"/>
        <v>0.37559999999999999</v>
      </c>
      <c r="AF45" s="2">
        <f t="shared" si="22"/>
        <v>0.495</v>
      </c>
      <c r="AH45" s="3">
        <f t="shared" si="7"/>
        <v>61359.111743187124</v>
      </c>
      <c r="AI45" s="3">
        <f t="shared" si="8"/>
        <v>61359.111743187124</v>
      </c>
      <c r="AJ45" s="3">
        <f t="shared" si="9"/>
        <v>0</v>
      </c>
      <c r="AK45" s="3">
        <f t="shared" si="10"/>
        <v>0</v>
      </c>
      <c r="AL45" s="4">
        <f t="shared" si="11"/>
        <v>10921.921890287307</v>
      </c>
      <c r="AN45" s="3">
        <f t="shared" si="12"/>
        <v>0</v>
      </c>
    </row>
    <row r="46" spans="1:40" x14ac:dyDescent="0.25">
      <c r="A46">
        <f>A45*(1+Invoerblad!$C$29)</f>
        <v>46479.52714546425</v>
      </c>
      <c r="B46">
        <f>B45*(1+Invoerblad!$C$29)</f>
        <v>15493.175715154744</v>
      </c>
      <c r="E46" s="17">
        <v>2070</v>
      </c>
      <c r="F46" s="17">
        <f t="shared" si="24"/>
        <v>94</v>
      </c>
      <c r="G46" s="18">
        <f>IF(F46&gt;=Invoerblad!$C$28,A46,0)</f>
        <v>46479.52714546425</v>
      </c>
      <c r="H46" s="18">
        <f>IF(F46&gt;=Invoerblad!$C$28,B46,0)</f>
        <v>15493.175715154744</v>
      </c>
      <c r="I46" s="33">
        <f t="shared" si="0"/>
        <v>61972.702860618992</v>
      </c>
      <c r="J46" s="19">
        <f t="shared" si="1"/>
        <v>11031.141109190181</v>
      </c>
      <c r="K46" s="34">
        <f t="shared" si="2"/>
        <v>50941.56175142881</v>
      </c>
      <c r="L46" s="18">
        <f>L45*(1+Invoerblad!$C$27)</f>
        <v>149721.40785628677</v>
      </c>
      <c r="M46" s="34">
        <f t="shared" si="3"/>
        <v>-98779.846104857948</v>
      </c>
      <c r="N46" s="42">
        <f t="shared" si="4"/>
        <v>0</v>
      </c>
      <c r="O46" s="3"/>
      <c r="P46" s="34">
        <f t="shared" si="13"/>
        <v>5.5321841084114199E-18</v>
      </c>
      <c r="Q46" s="19">
        <f t="shared" si="14"/>
        <v>-98779.846104857948</v>
      </c>
      <c r="R46" s="34">
        <f t="shared" si="5"/>
        <v>0</v>
      </c>
      <c r="S46" s="19">
        <f>((P46+R46)/2)*Invoerblad!$C$26</f>
        <v>1.106436821682284E-19</v>
      </c>
      <c r="T46" s="34">
        <f t="shared" si="6"/>
        <v>1.106436821682284E-19</v>
      </c>
      <c r="V46" s="1">
        <f>V45*(1+Invoerblad!$C$27)</f>
        <v>97026.958361266603</v>
      </c>
      <c r="W46" s="2">
        <f t="shared" si="15"/>
        <v>0.35749999999999998</v>
      </c>
      <c r="X46" s="1">
        <f>X45*(1+Invoerblad!$C$27)</f>
        <v>195700.85220895248</v>
      </c>
      <c r="Y46" s="2">
        <f t="shared" si="16"/>
        <v>0.37559999999999999</v>
      </c>
      <c r="Z46" s="2">
        <f t="shared" si="17"/>
        <v>0.495</v>
      </c>
      <c r="AB46" s="3">
        <f t="shared" si="18"/>
        <v>97026.958361266603</v>
      </c>
      <c r="AC46" s="2">
        <f t="shared" si="19"/>
        <v>0.17799999999999999</v>
      </c>
      <c r="AD46" s="3">
        <f t="shared" si="20"/>
        <v>195700.85220895248</v>
      </c>
      <c r="AE46" s="2">
        <f t="shared" si="21"/>
        <v>0.37559999999999999</v>
      </c>
      <c r="AF46" s="2">
        <f t="shared" si="22"/>
        <v>0.495</v>
      </c>
      <c r="AH46" s="3">
        <f t="shared" si="7"/>
        <v>61972.702860618992</v>
      </c>
      <c r="AI46" s="3">
        <f t="shared" si="8"/>
        <v>61972.702860618992</v>
      </c>
      <c r="AJ46" s="3">
        <f t="shared" si="9"/>
        <v>0</v>
      </c>
      <c r="AK46" s="3">
        <f t="shared" si="10"/>
        <v>0</v>
      </c>
      <c r="AL46" s="4">
        <f t="shared" si="11"/>
        <v>11031.141109190181</v>
      </c>
      <c r="AN46" s="3">
        <f t="shared" si="12"/>
        <v>0</v>
      </c>
    </row>
    <row r="47" spans="1:40" x14ac:dyDescent="0.25">
      <c r="A47">
        <f>A46*(1+Invoerblad!$C$29)</f>
        <v>46944.322416918891</v>
      </c>
      <c r="B47">
        <f>B46*(1+Invoerblad!$C$29)</f>
        <v>15648.107472306292</v>
      </c>
      <c r="E47" s="17">
        <v>2071</v>
      </c>
      <c r="F47" s="17">
        <f t="shared" si="24"/>
        <v>95</v>
      </c>
      <c r="G47" s="18">
        <f>IF(F47&gt;=Invoerblad!$C$28,A47,0)</f>
        <v>46944.322416918891</v>
      </c>
      <c r="H47" s="18">
        <f>IF(F47&gt;=Invoerblad!$C$28,B47,0)</f>
        <v>15648.107472306292</v>
      </c>
      <c r="I47" s="33">
        <f t="shared" si="0"/>
        <v>62592.429889225183</v>
      </c>
      <c r="J47" s="19">
        <f t="shared" si="1"/>
        <v>11141.452520282082</v>
      </c>
      <c r="K47" s="34">
        <f t="shared" si="2"/>
        <v>51450.977368943102</v>
      </c>
      <c r="L47" s="18">
        <f>L46*(1+Invoerblad!$C$27)</f>
        <v>152865.55742126878</v>
      </c>
      <c r="M47" s="34">
        <f t="shared" si="3"/>
        <v>-101414.58005232568</v>
      </c>
      <c r="N47" s="42">
        <f t="shared" si="4"/>
        <v>0</v>
      </c>
      <c r="O47" s="3"/>
      <c r="P47" s="34">
        <f t="shared" si="13"/>
        <v>1.106436821682284E-19</v>
      </c>
      <c r="Q47" s="19">
        <f t="shared" si="14"/>
        <v>-101414.58005232568</v>
      </c>
      <c r="R47" s="34">
        <f t="shared" si="5"/>
        <v>0</v>
      </c>
      <c r="S47" s="19">
        <f>((P47+R47)/2)*Invoerblad!$C$26</f>
        <v>2.2128736433645681E-21</v>
      </c>
      <c r="T47" s="34">
        <f t="shared" si="6"/>
        <v>2.2128736433645681E-21</v>
      </c>
      <c r="V47" s="1">
        <f>V46*(1+Invoerblad!$C$27)</f>
        <v>99064.524486853188</v>
      </c>
      <c r="W47" s="2">
        <f t="shared" si="15"/>
        <v>0.35749999999999998</v>
      </c>
      <c r="X47" s="1">
        <f>X46*(1+Invoerblad!$C$27)</f>
        <v>199810.57010534045</v>
      </c>
      <c r="Y47" s="2">
        <f t="shared" si="16"/>
        <v>0.37559999999999999</v>
      </c>
      <c r="Z47" s="2">
        <f t="shared" si="17"/>
        <v>0.495</v>
      </c>
      <c r="AB47" s="3">
        <f t="shared" si="18"/>
        <v>99064.524486853188</v>
      </c>
      <c r="AC47" s="2">
        <f t="shared" si="19"/>
        <v>0.17799999999999999</v>
      </c>
      <c r="AD47" s="3">
        <f t="shared" si="20"/>
        <v>199810.57010534045</v>
      </c>
      <c r="AE47" s="2">
        <f t="shared" si="21"/>
        <v>0.37559999999999999</v>
      </c>
      <c r="AF47" s="2">
        <f t="shared" si="22"/>
        <v>0.495</v>
      </c>
      <c r="AH47" s="3">
        <f t="shared" si="7"/>
        <v>62592.429889225183</v>
      </c>
      <c r="AI47" s="3">
        <f t="shared" si="8"/>
        <v>62592.429889225183</v>
      </c>
      <c r="AJ47" s="3">
        <f t="shared" si="9"/>
        <v>0</v>
      </c>
      <c r="AK47" s="3">
        <f t="shared" si="10"/>
        <v>0</v>
      </c>
      <c r="AL47" s="4">
        <f t="shared" si="11"/>
        <v>11141.452520282082</v>
      </c>
      <c r="AN47" s="3">
        <f t="shared" si="12"/>
        <v>0</v>
      </c>
    </row>
    <row r="48" spans="1:40" x14ac:dyDescent="0.25">
      <c r="A48">
        <f>A47*(1+Invoerblad!$C$29)</f>
        <v>47413.765641088081</v>
      </c>
      <c r="B48">
        <f>B47*(1+Invoerblad!$C$29)</f>
        <v>15804.588547029354</v>
      </c>
      <c r="E48" s="17">
        <v>2072</v>
      </c>
      <c r="F48" s="17">
        <f t="shared" si="24"/>
        <v>96</v>
      </c>
      <c r="G48" s="18">
        <f>IF(F48&gt;=Invoerblad!$C$28,A48,0)</f>
        <v>47413.765641088081</v>
      </c>
      <c r="H48" s="18">
        <f>IF(F48&gt;=Invoerblad!$C$28,B48,0)</f>
        <v>15804.588547029354</v>
      </c>
      <c r="I48" s="33">
        <f t="shared" si="0"/>
        <v>63218.354188117431</v>
      </c>
      <c r="J48" s="19">
        <f t="shared" si="1"/>
        <v>11252.867045484902</v>
      </c>
      <c r="K48" s="34">
        <f t="shared" si="2"/>
        <v>51965.487142632526</v>
      </c>
      <c r="L48" s="18">
        <f>L47*(1+Invoerblad!$C$27)</f>
        <v>156075.7341271154</v>
      </c>
      <c r="M48" s="34">
        <f t="shared" si="3"/>
        <v>-104110.24698448287</v>
      </c>
      <c r="N48" s="42">
        <f t="shared" si="4"/>
        <v>0</v>
      </c>
      <c r="O48" s="3"/>
      <c r="P48" s="34">
        <f t="shared" si="13"/>
        <v>2.2128736433645681E-21</v>
      </c>
      <c r="Q48" s="19">
        <f t="shared" si="14"/>
        <v>-104110.24698448287</v>
      </c>
      <c r="R48" s="34">
        <f t="shared" si="5"/>
        <v>0</v>
      </c>
      <c r="S48" s="19">
        <f>((P48+R48)/2)*Invoerblad!$C$26</f>
        <v>4.4257472867291363E-23</v>
      </c>
      <c r="T48" s="34">
        <f t="shared" si="6"/>
        <v>4.4257472867291363E-23</v>
      </c>
      <c r="V48" s="1">
        <f>V47*(1+Invoerblad!$C$27)</f>
        <v>101144.8795010771</v>
      </c>
      <c r="W48" s="2">
        <f t="shared" si="15"/>
        <v>0.35749999999999998</v>
      </c>
      <c r="X48" s="1">
        <f>X47*(1+Invoerblad!$C$27)</f>
        <v>204006.59207755257</v>
      </c>
      <c r="Y48" s="2">
        <f t="shared" si="16"/>
        <v>0.37559999999999999</v>
      </c>
      <c r="Z48" s="2">
        <f t="shared" si="17"/>
        <v>0.495</v>
      </c>
      <c r="AB48" s="3">
        <f t="shared" si="18"/>
        <v>101144.8795010771</v>
      </c>
      <c r="AC48" s="2">
        <f t="shared" si="19"/>
        <v>0.17799999999999999</v>
      </c>
      <c r="AD48" s="3">
        <f t="shared" si="20"/>
        <v>204006.59207755257</v>
      </c>
      <c r="AE48" s="2">
        <f t="shared" si="21"/>
        <v>0.37559999999999999</v>
      </c>
      <c r="AF48" s="2">
        <f t="shared" si="22"/>
        <v>0.495</v>
      </c>
      <c r="AH48" s="3">
        <f t="shared" si="7"/>
        <v>63218.354188117431</v>
      </c>
      <c r="AI48" s="3">
        <f t="shared" si="8"/>
        <v>63218.354188117431</v>
      </c>
      <c r="AJ48" s="3">
        <f t="shared" si="9"/>
        <v>0</v>
      </c>
      <c r="AK48" s="3">
        <f t="shared" si="10"/>
        <v>0</v>
      </c>
      <c r="AL48" s="4">
        <f t="shared" si="11"/>
        <v>11252.867045484902</v>
      </c>
      <c r="AN48" s="3">
        <f t="shared" si="12"/>
        <v>0</v>
      </c>
    </row>
    <row r="49" spans="1:40" x14ac:dyDescent="0.25">
      <c r="A49">
        <f>A48*(1+Invoerblad!$C$29)</f>
        <v>47887.90329749896</v>
      </c>
      <c r="B49">
        <f>B48*(1+Invoerblad!$C$29)</f>
        <v>15962.634432499648</v>
      </c>
      <c r="E49" s="17">
        <v>2073</v>
      </c>
      <c r="F49" s="17">
        <f t="shared" si="24"/>
        <v>97</v>
      </c>
      <c r="G49" s="18">
        <f>IF(F49&gt;=Invoerblad!$C$28,A49,0)</f>
        <v>47887.90329749896</v>
      </c>
      <c r="H49" s="18">
        <f>IF(F49&gt;=Invoerblad!$C$28,B49,0)</f>
        <v>15962.634432499648</v>
      </c>
      <c r="I49" s="33">
        <f t="shared" si="0"/>
        <v>63850.537729998607</v>
      </c>
      <c r="J49" s="19">
        <f t="shared" si="1"/>
        <v>11365.395715939752</v>
      </c>
      <c r="K49" s="34">
        <f t="shared" si="2"/>
        <v>52485.142014058853</v>
      </c>
      <c r="L49" s="18">
        <f>L48*(1+Invoerblad!$C$27)</f>
        <v>159353.32454378481</v>
      </c>
      <c r="M49" s="34">
        <f t="shared" si="3"/>
        <v>-106868.18252972595</v>
      </c>
      <c r="N49" s="42">
        <f t="shared" si="4"/>
        <v>0</v>
      </c>
      <c r="O49" s="3"/>
      <c r="P49" s="34">
        <f t="shared" si="13"/>
        <v>4.4257472867291363E-23</v>
      </c>
      <c r="Q49" s="19">
        <f t="shared" si="14"/>
        <v>-106868.18252972595</v>
      </c>
      <c r="R49" s="34">
        <f t="shared" si="5"/>
        <v>0</v>
      </c>
      <c r="S49" s="19">
        <f>((P49+R49)/2)*Invoerblad!$C$26</f>
        <v>8.851494573458273E-25</v>
      </c>
      <c r="T49" s="34">
        <f t="shared" si="6"/>
        <v>8.851494573458273E-25</v>
      </c>
      <c r="V49" s="1">
        <f>V48*(1+Invoerblad!$C$27)</f>
        <v>103268.92197059971</v>
      </c>
      <c r="W49" s="2">
        <f t="shared" si="15"/>
        <v>0.35749999999999998</v>
      </c>
      <c r="X49" s="1">
        <f>X48*(1+Invoerblad!$C$27)</f>
        <v>208290.73051118117</v>
      </c>
      <c r="Y49" s="2">
        <f t="shared" si="16"/>
        <v>0.37559999999999999</v>
      </c>
      <c r="Z49" s="2">
        <f t="shared" si="17"/>
        <v>0.495</v>
      </c>
      <c r="AB49" s="3">
        <f t="shared" si="18"/>
        <v>103268.92197059971</v>
      </c>
      <c r="AC49" s="2">
        <f t="shared" si="19"/>
        <v>0.17799999999999999</v>
      </c>
      <c r="AD49" s="3">
        <f t="shared" si="20"/>
        <v>208290.73051118117</v>
      </c>
      <c r="AE49" s="2">
        <f t="shared" si="21"/>
        <v>0.37559999999999999</v>
      </c>
      <c r="AF49" s="2">
        <f t="shared" si="22"/>
        <v>0.495</v>
      </c>
      <c r="AH49" s="3">
        <f t="shared" si="7"/>
        <v>63850.537729998607</v>
      </c>
      <c r="AI49" s="3">
        <f t="shared" si="8"/>
        <v>63850.537729998607</v>
      </c>
      <c r="AJ49" s="3">
        <f t="shared" si="9"/>
        <v>0</v>
      </c>
      <c r="AK49" s="3">
        <f t="shared" si="10"/>
        <v>0</v>
      </c>
      <c r="AL49" s="4">
        <f t="shared" si="11"/>
        <v>11365.395715939752</v>
      </c>
      <c r="AN49" s="3">
        <f t="shared" si="12"/>
        <v>0</v>
      </c>
    </row>
    <row r="50" spans="1:40" x14ac:dyDescent="0.25">
      <c r="A50">
        <f>A49*(1+Invoerblad!$C$29)</f>
        <v>48366.78233047395</v>
      </c>
      <c r="B50">
        <f>B49*(1+Invoerblad!$C$29)</f>
        <v>16122.260776824645</v>
      </c>
      <c r="E50" s="17">
        <v>2074</v>
      </c>
      <c r="F50" s="17">
        <f t="shared" si="24"/>
        <v>98</v>
      </c>
      <c r="G50" s="18">
        <f>IF(F50&gt;=Invoerblad!$C$28,A50,0)</f>
        <v>48366.78233047395</v>
      </c>
      <c r="H50" s="18">
        <f>IF(F50&gt;=Invoerblad!$C$28,B50,0)</f>
        <v>16122.260776824645</v>
      </c>
      <c r="I50" s="33">
        <f t="shared" si="0"/>
        <v>64489.043107298596</v>
      </c>
      <c r="J50" s="19">
        <f t="shared" si="1"/>
        <v>11479.049673099149</v>
      </c>
      <c r="K50" s="34">
        <f t="shared" si="2"/>
        <v>53009.993434199445</v>
      </c>
      <c r="L50" s="18">
        <f>L49*(1+Invoerblad!$C$27)</f>
        <v>162699.74435920428</v>
      </c>
      <c r="M50" s="34">
        <f t="shared" si="3"/>
        <v>-109689.75092500483</v>
      </c>
      <c r="N50" s="42">
        <f t="shared" si="4"/>
        <v>0</v>
      </c>
      <c r="O50" s="3"/>
      <c r="P50" s="34">
        <f t="shared" si="13"/>
        <v>8.851494573458273E-25</v>
      </c>
      <c r="Q50" s="19">
        <f t="shared" si="14"/>
        <v>-109689.75092500483</v>
      </c>
      <c r="R50" s="34">
        <f t="shared" si="5"/>
        <v>0</v>
      </c>
      <c r="S50" s="19">
        <f>((P50+R50)/2)*Invoerblad!$C$26</f>
        <v>1.7702989146916545E-26</v>
      </c>
      <c r="T50" s="34">
        <f t="shared" si="6"/>
        <v>1.7702989146916545E-26</v>
      </c>
      <c r="V50" s="1">
        <f>V49*(1+Invoerblad!$C$27)</f>
        <v>105437.56933198229</v>
      </c>
      <c r="W50" s="2">
        <f t="shared" si="15"/>
        <v>0.35749999999999998</v>
      </c>
      <c r="X50" s="1">
        <f>X49*(1+Invoerblad!$C$27)</f>
        <v>212664.83585191597</v>
      </c>
      <c r="Y50" s="2">
        <f t="shared" si="16"/>
        <v>0.37559999999999999</v>
      </c>
      <c r="Z50" s="2">
        <f t="shared" si="17"/>
        <v>0.495</v>
      </c>
      <c r="AB50" s="3">
        <f t="shared" si="18"/>
        <v>105437.56933198229</v>
      </c>
      <c r="AC50" s="2">
        <f t="shared" si="19"/>
        <v>0.17799999999999999</v>
      </c>
      <c r="AD50" s="3">
        <f t="shared" si="20"/>
        <v>212664.83585191597</v>
      </c>
      <c r="AE50" s="2">
        <f t="shared" si="21"/>
        <v>0.37559999999999999</v>
      </c>
      <c r="AF50" s="2">
        <f t="shared" si="22"/>
        <v>0.495</v>
      </c>
      <c r="AH50" s="3">
        <f t="shared" si="7"/>
        <v>64489.043107298596</v>
      </c>
      <c r="AI50" s="3">
        <f t="shared" si="8"/>
        <v>64489.043107298596</v>
      </c>
      <c r="AJ50" s="3">
        <f t="shared" si="9"/>
        <v>0</v>
      </c>
      <c r="AK50" s="3">
        <f t="shared" si="10"/>
        <v>0</v>
      </c>
      <c r="AL50" s="4">
        <f t="shared" si="11"/>
        <v>11479.049673099149</v>
      </c>
      <c r="AN50" s="3">
        <f t="shared" si="12"/>
        <v>0</v>
      </c>
    </row>
    <row r="51" spans="1:40" x14ac:dyDescent="0.25">
      <c r="A51">
        <f>A50*(1+Invoerblad!$C$29)</f>
        <v>48850.450153778693</v>
      </c>
      <c r="B51">
        <f>B50*(1+Invoerblad!$C$29)</f>
        <v>16283.483384592892</v>
      </c>
      <c r="E51" s="17">
        <v>2075</v>
      </c>
      <c r="F51" s="17">
        <f t="shared" si="24"/>
        <v>99</v>
      </c>
      <c r="G51" s="18">
        <f>IF(F51&gt;=Invoerblad!$C$28,A51,0)</f>
        <v>48850.450153778693</v>
      </c>
      <c r="H51" s="18">
        <f>IF(F51&gt;=Invoerblad!$C$28,B51,0)</f>
        <v>16283.483384592892</v>
      </c>
      <c r="I51" s="33">
        <f t="shared" si="0"/>
        <v>65133.933538371581</v>
      </c>
      <c r="J51" s="19">
        <f t="shared" si="1"/>
        <v>11593.84016983014</v>
      </c>
      <c r="K51" s="34">
        <f t="shared" si="2"/>
        <v>53540.093368541442</v>
      </c>
      <c r="L51" s="18">
        <f>L50*(1+Invoerblad!$C$27)</f>
        <v>166116.43899074756</v>
      </c>
      <c r="M51" s="34">
        <f t="shared" si="3"/>
        <v>-112576.34562220611</v>
      </c>
      <c r="N51" s="42">
        <f t="shared" si="4"/>
        <v>0</v>
      </c>
      <c r="O51" s="3"/>
      <c r="P51" s="34">
        <f t="shared" si="13"/>
        <v>1.7702989146916545E-26</v>
      </c>
      <c r="Q51" s="19">
        <f t="shared" si="14"/>
        <v>-112576.34562220611</v>
      </c>
      <c r="R51" s="34">
        <f t="shared" si="5"/>
        <v>0</v>
      </c>
      <c r="S51" s="19">
        <f>((P51+R51)/2)*Invoerblad!$C$26</f>
        <v>3.5405978293833092E-28</v>
      </c>
      <c r="T51" s="34">
        <f t="shared" si="6"/>
        <v>3.5405978293833092E-28</v>
      </c>
      <c r="V51" s="1">
        <f>V50*(1+Invoerblad!$C$27)</f>
        <v>107651.75828795391</v>
      </c>
      <c r="W51" s="2">
        <f t="shared" si="15"/>
        <v>0.35749999999999998</v>
      </c>
      <c r="X51" s="1">
        <f>X50*(1+Invoerblad!$C$27)</f>
        <v>217130.79740480619</v>
      </c>
      <c r="Y51" s="2">
        <f t="shared" si="16"/>
        <v>0.37559999999999999</v>
      </c>
      <c r="Z51" s="2">
        <f t="shared" si="17"/>
        <v>0.495</v>
      </c>
      <c r="AB51" s="3">
        <f t="shared" si="18"/>
        <v>107651.75828795391</v>
      </c>
      <c r="AC51" s="2">
        <f t="shared" si="19"/>
        <v>0.17799999999999999</v>
      </c>
      <c r="AD51" s="3">
        <f t="shared" si="20"/>
        <v>217130.79740480619</v>
      </c>
      <c r="AE51" s="2">
        <f t="shared" si="21"/>
        <v>0.37559999999999999</v>
      </c>
      <c r="AF51" s="2">
        <f t="shared" si="22"/>
        <v>0.495</v>
      </c>
      <c r="AH51" s="3">
        <f t="shared" si="7"/>
        <v>65133.933538371581</v>
      </c>
      <c r="AI51" s="3">
        <f t="shared" si="8"/>
        <v>65133.933538371581</v>
      </c>
      <c r="AJ51" s="3">
        <f t="shared" si="9"/>
        <v>0</v>
      </c>
      <c r="AK51" s="3">
        <f t="shared" si="10"/>
        <v>0</v>
      </c>
      <c r="AL51" s="4">
        <f t="shared" si="11"/>
        <v>11593.84016983014</v>
      </c>
      <c r="AN51" s="3">
        <f t="shared" si="12"/>
        <v>0</v>
      </c>
    </row>
    <row r="52" spans="1:40" x14ac:dyDescent="0.25">
      <c r="A52">
        <f>A51*(1+Invoerblad!$C$29)</f>
        <v>49338.954655316484</v>
      </c>
      <c r="B52">
        <f>B51*(1+Invoerblad!$C$29)</f>
        <v>16446.318218438821</v>
      </c>
      <c r="E52" s="17">
        <v>2076</v>
      </c>
      <c r="F52" s="17">
        <f t="shared" si="24"/>
        <v>100</v>
      </c>
      <c r="G52" s="18">
        <f>IF(F52&gt;=Invoerblad!$C$28,A52,0)</f>
        <v>49338.954655316484</v>
      </c>
      <c r="H52" s="18">
        <f>IF(F52&gt;=Invoerblad!$C$28,B52,0)</f>
        <v>16446.318218438821</v>
      </c>
      <c r="I52" s="33">
        <f t="shared" si="0"/>
        <v>65785.272873755312</v>
      </c>
      <c r="J52" s="19">
        <f t="shared" si="1"/>
        <v>11709.778571528444</v>
      </c>
      <c r="K52" s="34">
        <f t="shared" si="2"/>
        <v>54075.494302226871</v>
      </c>
      <c r="L52" s="18">
        <f>L51*(1+Invoerblad!$C$27)</f>
        <v>169604.88420955325</v>
      </c>
      <c r="M52" s="34">
        <f t="shared" si="3"/>
        <v>-115529.38990732637</v>
      </c>
      <c r="N52" s="42">
        <f t="shared" si="4"/>
        <v>0</v>
      </c>
      <c r="O52" s="3"/>
      <c r="P52" s="34">
        <f t="shared" si="13"/>
        <v>3.5405978293833092E-28</v>
      </c>
      <c r="Q52" s="19">
        <f t="shared" si="14"/>
        <v>-115529.38990732637</v>
      </c>
      <c r="R52" s="34">
        <f t="shared" si="5"/>
        <v>0</v>
      </c>
      <c r="S52" s="19">
        <f>((P52+R52)/2)*Invoerblad!$C$26</f>
        <v>7.0811956587666186E-30</v>
      </c>
      <c r="T52" s="34">
        <f t="shared" si="6"/>
        <v>7.0811956587666186E-30</v>
      </c>
      <c r="V52" s="1">
        <f>V51*(1+Invoerblad!$C$27)</f>
        <v>109912.44521200094</v>
      </c>
      <c r="W52" s="2">
        <f t="shared" si="15"/>
        <v>0.35749999999999998</v>
      </c>
      <c r="X52" s="1">
        <f>X51*(1+Invoerblad!$C$27)</f>
        <v>221690.54415030711</v>
      </c>
      <c r="Y52" s="2">
        <f t="shared" si="16"/>
        <v>0.37559999999999999</v>
      </c>
      <c r="Z52" s="2">
        <f t="shared" si="17"/>
        <v>0.495</v>
      </c>
      <c r="AB52" s="3">
        <f t="shared" si="18"/>
        <v>109912.44521200094</v>
      </c>
      <c r="AC52" s="2">
        <f t="shared" si="19"/>
        <v>0.17799999999999999</v>
      </c>
      <c r="AD52" s="3">
        <f t="shared" si="20"/>
        <v>221690.54415030711</v>
      </c>
      <c r="AE52" s="2">
        <f t="shared" si="21"/>
        <v>0.37559999999999999</v>
      </c>
      <c r="AF52" s="2">
        <f t="shared" si="22"/>
        <v>0.495</v>
      </c>
      <c r="AH52" s="3">
        <f t="shared" si="7"/>
        <v>65785.272873755312</v>
      </c>
      <c r="AI52" s="3">
        <f t="shared" si="8"/>
        <v>65785.272873755312</v>
      </c>
      <c r="AJ52" s="3">
        <f t="shared" si="9"/>
        <v>0</v>
      </c>
      <c r="AK52" s="3">
        <f t="shared" si="10"/>
        <v>0</v>
      </c>
      <c r="AL52" s="4">
        <f t="shared" si="11"/>
        <v>11709.778571528444</v>
      </c>
      <c r="AN52" s="3">
        <f t="shared" si="12"/>
        <v>0</v>
      </c>
    </row>
    <row r="54" spans="1:40" x14ac:dyDescent="0.25">
      <c r="AH54" s="3"/>
    </row>
  </sheetData>
  <sheetProtection algorithmName="SHA-512" hashValue="K4fYN6D9EKUd9wKkAAD7+jE+f2s5hpj6JNChoZEVfldbly3R2IP+lfG12fIIoR38UZhvTeJZHdGk0WlDmVzZuA==" saltValue="tTw9vMiK4F1MKdFP4Wa1Ug=="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6F3C3-EC72-48FA-BD04-7348D1450501}">
  <dimension ref="C5:C6"/>
  <sheetViews>
    <sheetView zoomScale="145" zoomScaleNormal="145" workbookViewId="0">
      <selection activeCell="F12" sqref="F12"/>
    </sheetView>
  </sheetViews>
  <sheetFormatPr defaultRowHeight="15" x14ac:dyDescent="0.25"/>
  <sheetData>
    <row r="5" spans="3:3" x14ac:dyDescent="0.25">
      <c r="C5" s="2">
        <v>0.245</v>
      </c>
    </row>
    <row r="6" spans="3:3" x14ac:dyDescent="0.25">
      <c r="C6" s="2">
        <v>0.31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Invoerblad</vt:lpstr>
      <vt:lpstr>Berekening</vt:lpstr>
      <vt:lpstr>Blad3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Bogaerds</dc:creator>
  <cp:lastModifiedBy>David Bogaerds</cp:lastModifiedBy>
  <dcterms:created xsi:type="dcterms:W3CDTF">2025-12-22T14:27:36Z</dcterms:created>
  <dcterms:modified xsi:type="dcterms:W3CDTF">2025-12-23T06:48:15Z</dcterms:modified>
</cp:coreProperties>
</file>