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personalwealthbv-my.sharepoint.com/personal/david_personalwealth_nl/Documents/Documenten/Linkedin Marketing/"/>
    </mc:Choice>
  </mc:AlternateContent>
  <xr:revisionPtr revIDLastSave="1" documentId="8_{611253FD-4034-4FAA-9017-49541302828D}" xr6:coauthVersionLast="47" xr6:coauthVersionMax="47" xr10:uidLastSave="{8F58F1B0-B979-4BDA-A53A-6DFBE34770B4}"/>
  <workbookProtection workbookAlgorithmName="SHA-512" workbookHashValue="k8J2WF0UNjnqZWFEHPjn5I++LGdhntlekdXCiMb+eEZxwvUY4C9Som5eBmu7L4aa9VAVPinfhxnowwG9JGE/GQ==" workbookSaltValue="/sbNRI1hNp7teipwNtnR5g==" workbookSpinCount="100000" lockStructure="1"/>
  <bookViews>
    <workbookView xWindow="-28920" yWindow="-120" windowWidth="29040" windowHeight="15720" xr2:uid="{031A97E7-7603-4F8A-B143-C22456261B13}"/>
  </bookViews>
  <sheets>
    <sheet name="Rekentool" sheetId="2" r:id="rId1"/>
    <sheet name="DGA salaris" sheetId="6" r:id="rId2"/>
    <sheet name="Blad4" sheetId="4" state="hidden" r:id="rId3"/>
    <sheet name="Blad3" sheetId="3" state="hidden" r:id="rId4"/>
    <sheet name="ja-nee" sheetId="5" state="hidden" r:id="rId5"/>
  </sheets>
  <calcPr calcId="191029" iterate="1" iterateDelta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9" i="4" l="1"/>
  <c r="L69" i="3"/>
  <c r="G88" i="2" l="1"/>
  <c r="E77" i="3" s="1"/>
  <c r="E78" i="3"/>
  <c r="D78" i="3"/>
  <c r="C45" i="4"/>
  <c r="G45" i="4" s="1"/>
  <c r="F46" i="4" s="1"/>
  <c r="B40" i="4"/>
  <c r="D88" i="2"/>
  <c r="D77" i="3" s="1"/>
  <c r="E47" i="3"/>
  <c r="C37" i="3"/>
  <c r="C47" i="3"/>
  <c r="B46" i="4" l="1"/>
  <c r="J43" i="4"/>
  <c r="J45" i="4" s="1"/>
  <c r="M45" i="4" s="1"/>
  <c r="K43" i="4"/>
  <c r="K45" i="4" s="1"/>
  <c r="N45" i="4" s="1"/>
  <c r="G55" i="2"/>
  <c r="D55" i="2"/>
  <c r="G54" i="2"/>
  <c r="G45" i="2"/>
  <c r="G43" i="2"/>
  <c r="G41" i="2"/>
  <c r="E37" i="3" l="1"/>
  <c r="K46" i="4"/>
  <c r="N46" i="4" s="1"/>
  <c r="N48" i="4" s="1"/>
  <c r="J46" i="4"/>
  <c r="M46" i="4" s="1"/>
  <c r="M48" i="4" s="1"/>
  <c r="G84" i="2"/>
  <c r="D43" i="2"/>
  <c r="G89" i="2" l="1"/>
  <c r="H18" i="2" s="1"/>
  <c r="J14" i="4"/>
  <c r="D45" i="2"/>
  <c r="J16" i="4" l="1"/>
  <c r="L16" i="4" s="1"/>
  <c r="D54" i="2"/>
  <c r="D37" i="3" s="1"/>
  <c r="D41" i="2"/>
  <c r="D84" i="2" s="1"/>
  <c r="D47" i="3"/>
  <c r="G44" i="3"/>
  <c r="D102" i="3"/>
  <c r="C102" i="3"/>
  <c r="C101" i="3"/>
  <c r="J17" i="4" l="1"/>
  <c r="L17" i="4" s="1"/>
  <c r="L19" i="4" s="1"/>
  <c r="G85" i="2" s="1"/>
  <c r="C103" i="3"/>
  <c r="C104" i="3" s="1"/>
  <c r="C108" i="3" s="1"/>
  <c r="D48" i="2"/>
  <c r="D52" i="2" s="1"/>
  <c r="D71" i="2" s="1"/>
  <c r="C30" i="4"/>
  <c r="G30" i="4" s="1"/>
  <c r="F31" i="4" s="1"/>
  <c r="B25" i="4"/>
  <c r="N84" i="3"/>
  <c r="Q84" i="3" s="1"/>
  <c r="T84" i="3" s="1"/>
  <c r="C78" i="3"/>
  <c r="B31" i="4" l="1"/>
  <c r="G86" i="2"/>
  <c r="H19" i="2"/>
  <c r="D101" i="3"/>
  <c r="D103" i="3" s="1"/>
  <c r="D104" i="3" s="1"/>
  <c r="D108" i="3" s="1"/>
  <c r="G90" i="2" l="1"/>
  <c r="E31" i="2"/>
  <c r="D57" i="2"/>
  <c r="J67" i="3"/>
  <c r="J68" i="3"/>
  <c r="J69" i="3"/>
  <c r="P69" i="3" s="1"/>
  <c r="J66" i="3"/>
  <c r="P66" i="3" l="1"/>
  <c r="R66" i="3" s="1"/>
  <c r="R69" i="3"/>
  <c r="R68" i="3"/>
  <c r="P68" i="3"/>
  <c r="R67" i="3"/>
  <c r="P67" i="3"/>
  <c r="R71" i="3" l="1"/>
  <c r="D74" i="2" s="1"/>
  <c r="O86" i="3" l="1"/>
  <c r="D40" i="3"/>
  <c r="E40" i="3" s="1"/>
  <c r="D7" i="3"/>
  <c r="D2" i="3"/>
  <c r="D5" i="3" s="1"/>
  <c r="I67" i="3" l="1"/>
  <c r="M67" i="3" s="1"/>
  <c r="I68" i="3"/>
  <c r="M68" i="3" s="1"/>
  <c r="N68" i="3" s="1"/>
  <c r="I69" i="3"/>
  <c r="M69" i="3" s="1"/>
  <c r="N69" i="3" s="1"/>
  <c r="I66" i="3"/>
  <c r="M66" i="3" s="1"/>
  <c r="N66" i="3" s="1"/>
  <c r="N67" i="3"/>
  <c r="D4" i="3"/>
  <c r="D6" i="3" l="1"/>
  <c r="N71" i="3"/>
  <c r="D8" i="3" l="1"/>
  <c r="D9" i="3" l="1"/>
  <c r="D10" i="3" s="1"/>
  <c r="C32" i="3" l="1"/>
  <c r="C36" i="3" s="1"/>
  <c r="C38" i="3" s="1"/>
  <c r="G59" i="2"/>
  <c r="D59" i="2"/>
  <c r="D61" i="2" s="1"/>
  <c r="L16" i="3" s="1"/>
  <c r="D32" i="3"/>
  <c r="F16" i="3"/>
  <c r="F18" i="3" s="1"/>
  <c r="C42" i="3" l="1"/>
  <c r="D36" i="3"/>
  <c r="D38" i="3" s="1"/>
  <c r="D42" i="3" s="1"/>
  <c r="C25" i="3"/>
  <c r="F25" i="3" s="1"/>
  <c r="D76" i="3"/>
  <c r="D79" i="3" s="1"/>
  <c r="C76" i="3"/>
  <c r="C79" i="3" s="1"/>
  <c r="O84" i="3" s="1"/>
  <c r="F20" i="3"/>
  <c r="C43" i="3" s="1"/>
  <c r="C48" i="3" s="1"/>
  <c r="G16" i="3"/>
  <c r="G20" i="3" s="1"/>
  <c r="D27" i="3" s="1"/>
  <c r="G27" i="3" s="1"/>
  <c r="C50" i="3" l="1"/>
  <c r="G42" i="3"/>
  <c r="F19" i="3"/>
  <c r="C26" i="3" s="1"/>
  <c r="F26" i="3" s="1"/>
  <c r="G18" i="3"/>
  <c r="D25" i="3" s="1"/>
  <c r="G25" i="3" s="1"/>
  <c r="C27" i="3"/>
  <c r="F27" i="3" s="1"/>
  <c r="G85" i="3"/>
  <c r="N85" i="3" s="1"/>
  <c r="O85" i="3" s="1"/>
  <c r="O87" i="3" s="1"/>
  <c r="L20" i="3"/>
  <c r="D43" i="3" s="1"/>
  <c r="L18" i="3"/>
  <c r="D63" i="2" s="1"/>
  <c r="F28" i="3" l="1"/>
  <c r="G19" i="3"/>
  <c r="D26" i="3" s="1"/>
  <c r="G26" i="3" s="1"/>
  <c r="G28" i="3" s="1"/>
  <c r="D48" i="3"/>
  <c r="D65" i="2"/>
  <c r="L19" i="3"/>
  <c r="D64" i="2" s="1"/>
  <c r="C14" i="4"/>
  <c r="C16" i="4" s="1"/>
  <c r="C17" i="4" s="1"/>
  <c r="E17" i="4" s="1"/>
  <c r="D68" i="2" l="1"/>
  <c r="D66" i="2"/>
  <c r="E16" i="4"/>
  <c r="E19" i="4" s="1"/>
  <c r="D85" i="2" s="1"/>
  <c r="G19" i="2" l="1"/>
  <c r="J19" i="2" s="1"/>
  <c r="G48" i="2"/>
  <c r="G52" i="2" s="1"/>
  <c r="G71" i="2" s="1"/>
  <c r="D86" i="2"/>
  <c r="D31" i="2" s="1"/>
  <c r="K66" i="3" l="1"/>
  <c r="K67" i="3"/>
  <c r="K69" i="3"/>
  <c r="K68" i="3"/>
  <c r="E36" i="3"/>
  <c r="E38" i="3" s="1"/>
  <c r="E42" i="3" s="1"/>
  <c r="G57" i="2"/>
  <c r="G61" i="2" s="1"/>
  <c r="K28" i="4"/>
  <c r="K30" i="4" s="1"/>
  <c r="N30" i="4" s="1"/>
  <c r="Q30" i="4" s="1"/>
  <c r="M16" i="3" l="1"/>
  <c r="E76" i="3"/>
  <c r="E79" i="3" s="1"/>
  <c r="S68" i="3"/>
  <c r="Q68" i="3"/>
  <c r="Q69" i="3"/>
  <c r="S69" i="3" s="1"/>
  <c r="Q67" i="3"/>
  <c r="S67" i="3" a="1"/>
  <c r="S67" i="3" s="1"/>
  <c r="Q66" i="3"/>
  <c r="S66" i="3" s="1"/>
  <c r="R84" i="3"/>
  <c r="J28" i="4"/>
  <c r="J30" i="4" s="1"/>
  <c r="M30" i="4" s="1"/>
  <c r="P30" i="4" s="1"/>
  <c r="K31" i="4"/>
  <c r="N31" i="4" s="1"/>
  <c r="M18" i="3" l="1"/>
  <c r="G63" i="2" s="1"/>
  <c r="M20" i="3"/>
  <c r="E43" i="3" s="1"/>
  <c r="E48" i="3" s="1"/>
  <c r="G68" i="2" s="1"/>
  <c r="J85" i="3"/>
  <c r="T85" i="3" s="1"/>
  <c r="U85" i="3" s="1"/>
  <c r="U84" i="3"/>
  <c r="N33" i="4"/>
  <c r="Q31" i="4"/>
  <c r="Q33" i="4" s="1"/>
  <c r="S71" i="3"/>
  <c r="G74" i="2" s="1"/>
  <c r="J31" i="4"/>
  <c r="M31" i="4" s="1"/>
  <c r="H85" i="3"/>
  <c r="G65" i="2" l="1"/>
  <c r="M19" i="3"/>
  <c r="G64" i="2" s="1"/>
  <c r="U87" i="3"/>
  <c r="G75" i="2" s="1"/>
  <c r="M33" i="4"/>
  <c r="D89" i="2" s="1"/>
  <c r="P31" i="4"/>
  <c r="P33" i="4" s="1"/>
  <c r="Q85" i="3"/>
  <c r="R85" i="3" s="1"/>
  <c r="R87" i="3" s="1"/>
  <c r="D75" i="2" s="1"/>
  <c r="G18" i="2" l="1"/>
  <c r="G23" i="2" s="1"/>
  <c r="D90" i="2"/>
  <c r="G66" i="2"/>
  <c r="G69" i="2" s="1"/>
  <c r="G73" i="2" s="1"/>
  <c r="G76" i="2" s="1"/>
  <c r="G79" i="2" s="1"/>
  <c r="H17" i="2" s="1"/>
  <c r="H23" i="2"/>
  <c r="D69" i="2"/>
  <c r="J23" i="2" l="1"/>
  <c r="J18" i="2"/>
  <c r="G80" i="2"/>
  <c r="H20" i="2"/>
  <c r="H22" i="2"/>
  <c r="D73" i="2"/>
  <c r="D76" i="2" s="1"/>
  <c r="D79" i="2" s="1"/>
  <c r="G17" i="2" s="1"/>
  <c r="G22" i="2" l="1"/>
  <c r="G24" i="2" s="1"/>
  <c r="G20" i="2"/>
  <c r="J20" i="2" s="1"/>
  <c r="D80" i="2"/>
  <c r="H24" i="2" s="1"/>
  <c r="J17" i="2"/>
  <c r="J24" i="2" l="1"/>
  <c r="J22" i="2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<sst xmlns="http://schemas.openxmlformats.org/spreadsheetml/2006/main" count="237" uniqueCount="133">
  <si>
    <t>Winst uit onderneming</t>
  </si>
  <si>
    <t>Startersaftrek</t>
  </si>
  <si>
    <t>Arbeidskorting</t>
  </si>
  <si>
    <t>Algemene heffingskorting</t>
  </si>
  <si>
    <t>Eenmanszaak</t>
  </si>
  <si>
    <t>Belastbaar inkomen</t>
  </si>
  <si>
    <t>Netto inkomen</t>
  </si>
  <si>
    <t>BV</t>
  </si>
  <si>
    <t>Salaris DGA</t>
  </si>
  <si>
    <t>Winst BV voor VPB</t>
  </si>
  <si>
    <t>Vennootschapsbelasting</t>
  </si>
  <si>
    <t>Belasting box 2</t>
  </si>
  <si>
    <t>Winst na ondernemersaftrek</t>
  </si>
  <si>
    <t>Belastbaar inkomen voor aftrek eigen woning</t>
  </si>
  <si>
    <t xml:space="preserve">Inkomen uit eigen woning </t>
  </si>
  <si>
    <t>WOZ waarde woning</t>
  </si>
  <si>
    <t>Belastbaar inkomen box 1</t>
  </si>
  <si>
    <t>Eigenwoningforfait &lt; grens</t>
  </si>
  <si>
    <t>Eigenwoningforfait &gt; grens</t>
  </si>
  <si>
    <t>Eigenwoningforfair</t>
  </si>
  <si>
    <t>Hypotheekrente</t>
  </si>
  <si>
    <t>Hypotheekrente aftrekbaar box 1</t>
  </si>
  <si>
    <t>Tussensaldo inkomsten eigen woning</t>
  </si>
  <si>
    <t xml:space="preserve">Tarief schijf 1 </t>
  </si>
  <si>
    <t>Tarief schijf 2</t>
  </si>
  <si>
    <t>Tarief schijf 3</t>
  </si>
  <si>
    <t>Heffing schijf 1</t>
  </si>
  <si>
    <t>Heffing schijf 2</t>
  </si>
  <si>
    <t>Heffing schijf 3</t>
  </si>
  <si>
    <t>Tarief</t>
  </si>
  <si>
    <t>Tot</t>
  </si>
  <si>
    <t>Heffing box 1</t>
  </si>
  <si>
    <t>Totale heffing box 1</t>
  </si>
  <si>
    <t>Inkomensafhankelijke zorgpremie</t>
  </si>
  <si>
    <t>Huidige situatie</t>
  </si>
  <si>
    <t>Zonder HRA</t>
  </si>
  <si>
    <t>Met HRA</t>
  </si>
  <si>
    <t>Berekening aftrekbeperking</t>
  </si>
  <si>
    <t>Totaal inkomen</t>
  </si>
  <si>
    <t>Af; volledig aftrekbrae uitgave</t>
  </si>
  <si>
    <t>Inkomen na volledig aftrekbrae uitgaven</t>
  </si>
  <si>
    <t>Hoogste tariefschijf</t>
  </si>
  <si>
    <t>Te corrigeren bedrag</t>
  </si>
  <si>
    <t>Maximale aftrek hypotheekrente</t>
  </si>
  <si>
    <t>Toptarief</t>
  </si>
  <si>
    <t>Correctie</t>
  </si>
  <si>
    <t>Correctie aftrekposten niet geheel aftrekbaar</t>
  </si>
  <si>
    <t>Arbeidsinkomen</t>
  </si>
  <si>
    <t>8,053% x arbeidsinkomen</t>
  </si>
  <si>
    <t>€ 980 + 30,030% x (arbeidsinkomen - € 12.169)</t>
  </si>
  <si>
    <t>€ 5.220 + 2,258% x (arbeidsinkomen - € 26.288)</t>
  </si>
  <si>
    <t>€ 5.599 - 6,510% x (arbeidsinkomen - € 43.071)</t>
  </si>
  <si>
    <t>€ 0</t>
  </si>
  <si>
    <t>Van</t>
  </si>
  <si>
    <t>Bedrag</t>
  </si>
  <si>
    <t>Percentage</t>
  </si>
  <si>
    <t>€ 3.068 - 6,337% x (verzamelinkomen - € 28.406)</t>
  </si>
  <si>
    <t>Totaal</t>
  </si>
  <si>
    <t>Meenemen</t>
  </si>
  <si>
    <t>Verzamelinkomen</t>
  </si>
  <si>
    <t>Box1</t>
  </si>
  <si>
    <t>Box2</t>
  </si>
  <si>
    <t>Box3</t>
  </si>
  <si>
    <t>VPB 2025</t>
  </si>
  <si>
    <t>Winst</t>
  </si>
  <si>
    <t>Laag tarief</t>
  </si>
  <si>
    <t>Hoog tarief</t>
  </si>
  <si>
    <t>Box 2 belasting</t>
  </si>
  <si>
    <t>Zonder FP</t>
  </si>
  <si>
    <t>Met FP</t>
  </si>
  <si>
    <t>Laag</t>
  </si>
  <si>
    <t>Hoog</t>
  </si>
  <si>
    <t>Geen fiscaal partner</t>
  </si>
  <si>
    <t>Wel fiscaal partner</t>
  </si>
  <si>
    <t>ja</t>
  </si>
  <si>
    <t>nee</t>
  </si>
  <si>
    <t>Franchise lijfrente 2025</t>
  </si>
  <si>
    <t>Inkomen</t>
  </si>
  <si>
    <t>Franchise</t>
  </si>
  <si>
    <t>Inkmoen min franfhise</t>
  </si>
  <si>
    <t>Jaarruimte</t>
  </si>
  <si>
    <t>maximaal</t>
  </si>
  <si>
    <t>Aftrek lijfrente</t>
  </si>
  <si>
    <t>Aftrek AOV premie</t>
  </si>
  <si>
    <t>Te benutten jaarruimte</t>
  </si>
  <si>
    <t>Eemanszaak</t>
  </si>
  <si>
    <t>Eenamsnzaaak</t>
  </si>
  <si>
    <t>Nettowinst BV</t>
  </si>
  <si>
    <t>Uitkering als dividend</t>
  </si>
  <si>
    <t>Dividend</t>
  </si>
  <si>
    <t>Geen FP</t>
  </si>
  <si>
    <t>Wel FP</t>
  </si>
  <si>
    <t>Belasting</t>
  </si>
  <si>
    <t>Fiscaal partner</t>
  </si>
  <si>
    <t>Netto uitkering</t>
  </si>
  <si>
    <t>Cataloguswaarde auto van de zaak</t>
  </si>
  <si>
    <t>Bijtellingspercentage auto van de zaak</t>
  </si>
  <si>
    <t>Bijtelling auto</t>
  </si>
  <si>
    <t>Inleg lijfrente</t>
  </si>
  <si>
    <t>Totaal belastingdruk incl. zvw</t>
  </si>
  <si>
    <t>Totaal belasting</t>
  </si>
  <si>
    <t>Delta</t>
  </si>
  <si>
    <t>Netto dividend</t>
  </si>
  <si>
    <t>Totaal netto ontvangst prive</t>
  </si>
  <si>
    <t>Inkomstenbelasting + bijdrage ZVW</t>
  </si>
  <si>
    <t>Klik hier voor meer informatie</t>
  </si>
  <si>
    <t>Inkomen in box 3 (voordeel sparen en beleggen)</t>
  </si>
  <si>
    <t>Correctie Wet Hillen</t>
  </si>
  <si>
    <t>EWF correcie ivm Wet Hillwn</t>
  </si>
  <si>
    <t>Totale aftrek</t>
  </si>
  <si>
    <t>EWF in inkmoen</t>
  </si>
  <si>
    <t>Meer weten of meteen besparingen in gang zetten? Neem contact met me op!</t>
  </si>
  <si>
    <t>Telefoon: 033-3037709</t>
  </si>
  <si>
    <t>Email: david@personalwealth.nl</t>
  </si>
  <si>
    <t>Aan dit document kan op geen enkele manier rechten worden ontleend</t>
  </si>
  <si>
    <t>Deze rekentool geeft een sterk vereenvoudigde weergave van de werkelijkheid, zonder met alle aspecten rekening te houden</t>
  </si>
  <si>
    <t>Voor professioneel advies is het verstandig een expert te raadplegen</t>
  </si>
  <si>
    <t>Invoer gegevens (gele cellen)</t>
  </si>
  <si>
    <t>Gedetailleerde berekening</t>
  </si>
  <si>
    <t>AOV premie en persoonsgebonden aftrek</t>
  </si>
  <si>
    <t>Scenario 1</t>
  </si>
  <si>
    <t>Scenario 2</t>
  </si>
  <si>
    <t>Winst vóór DGA salaris</t>
  </si>
  <si>
    <t>Dividenduitering</t>
  </si>
  <si>
    <t>Maximaal uit te keren dividend</t>
  </si>
  <si>
    <t>BV1</t>
  </si>
  <si>
    <t>BV2</t>
  </si>
  <si>
    <t>BV11</t>
  </si>
  <si>
    <t>BV1 mee</t>
  </si>
  <si>
    <t>BV2 mee</t>
  </si>
  <si>
    <t>BV12</t>
  </si>
  <si>
    <t>Vergelijk scenario 1 en 2</t>
  </si>
  <si>
    <t>DGA salaris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</si>
</sst>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 * #,##0_ ;_ * \-#,##0_ ;_ * &quot;-&quot;_ ;_ @_ "/>
    <numFmt numFmtId="44" formatCode="_ &quot;€&quot;\ * #,##0.00_ ;_ &quot;€&quot;\ * \-#,##0.00_ ;_ &quot;€&quot;\ * &quot;-&quot;??_ ;_ @_ "/>
    <numFmt numFmtId="43" formatCode="_ * #,##0.00_ ;_ * \-#,##0.00_ ;_ * &quot;-&quot;??_ ;_ @_ "/>
    <numFmt numFmtId="164" formatCode="_ * #,##0_ ;_ * \-#,##0_ ;_ * &quot;-&quot;??_ ;_ @_ "/>
    <numFmt numFmtId="165" formatCode="_ &quot;€&quot;\ * #,##0_ ;_ &quot;€&quot;\ * \-#,##0_ ;_ &quot;€&quot;\ * &quot;-&quot;??_ ;_ @_ "/>
  </numFmts>
  <fonts count="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000000"/>
      <name val="Segoe UI"/>
      <family val="2"/>
    </font>
    <font>
      <sz val="11"/>
      <color rgb="FF000000"/>
      <name val="Segoe UI"/>
      <family val="2"/>
    </font>
    <font>
      <b/>
      <sz val="11"/>
      <color theme="0"/>
      <name val="Aptos Narrow"/>
      <family val="2"/>
      <scheme val="minor"/>
    </font>
    <font>
      <b/>
      <sz val="16"/>
      <color theme="0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3E6C7B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0891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rgb="FFCCCC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64">
    <xf numFmtId="0" fontId="0" fillId="0" borderId="0" xfId="0"/>
    <xf numFmtId="164" fontId="0" fillId="0" borderId="0" xfId="0" applyNumberFormat="1"/>
    <xf numFmtId="0" fontId="0" fillId="0" borderId="1" xfId="0" applyBorder="1"/>
    <xf numFmtId="0" fontId="0" fillId="2" borderId="1" xfId="0" applyFill="1" applyBorder="1"/>
    <xf numFmtId="10" fontId="0" fillId="0" borderId="0" xfId="0" applyNumberFormat="1"/>
    <xf numFmtId="44" fontId="0" fillId="0" borderId="0" xfId="1" applyFont="1"/>
    <xf numFmtId="165" fontId="0" fillId="0" borderId="0" xfId="1" applyNumberFormat="1" applyFont="1"/>
    <xf numFmtId="165" fontId="0" fillId="0" borderId="0" xfId="0" applyNumberFormat="1"/>
    <xf numFmtId="44" fontId="0" fillId="0" borderId="0" xfId="0" applyNumberFormat="1"/>
    <xf numFmtId="0" fontId="3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vertical="top" wrapText="1"/>
    </xf>
    <xf numFmtId="0" fontId="3" fillId="3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vertical="top" wrapText="1"/>
    </xf>
    <xf numFmtId="165" fontId="0" fillId="2" borderId="0" xfId="1" applyNumberFormat="1" applyFont="1" applyFill="1"/>
    <xf numFmtId="165" fontId="3" fillId="3" borderId="2" xfId="1" applyNumberFormat="1" applyFont="1" applyFill="1" applyBorder="1" applyAlignment="1">
      <alignment horizontal="center" vertical="center" wrapText="1"/>
    </xf>
    <xf numFmtId="0" fontId="2" fillId="0" borderId="0" xfId="0" applyFont="1"/>
    <xf numFmtId="43" fontId="0" fillId="0" borderId="0" xfId="0" applyNumberFormat="1"/>
    <xf numFmtId="9" fontId="0" fillId="0" borderId="0" xfId="0" applyNumberFormat="1"/>
    <xf numFmtId="0" fontId="0" fillId="2" borderId="0" xfId="0" applyFill="1"/>
    <xf numFmtId="164" fontId="0" fillId="0" borderId="1" xfId="0" applyNumberFormat="1" applyBorder="1"/>
    <xf numFmtId="0" fontId="5" fillId="4" borderId="1" xfId="0" applyFont="1" applyFill="1" applyBorder="1"/>
    <xf numFmtId="164" fontId="5" fillId="4" borderId="1" xfId="0" applyNumberFormat="1" applyFont="1" applyFill="1" applyBorder="1"/>
    <xf numFmtId="165" fontId="0" fillId="2" borderId="0" xfId="0" applyNumberFormat="1" applyFill="1"/>
    <xf numFmtId="44" fontId="0" fillId="2" borderId="0" xfId="0" applyNumberFormat="1" applyFill="1"/>
    <xf numFmtId="164" fontId="0" fillId="0" borderId="0" xfId="1" applyNumberFormat="1" applyFont="1"/>
    <xf numFmtId="164" fontId="0" fillId="0" borderId="0" xfId="1" applyNumberFormat="1" applyFont="1" applyFill="1" applyBorder="1"/>
    <xf numFmtId="164" fontId="0" fillId="0" borderId="1" xfId="1" applyNumberFormat="1" applyFont="1" applyBorder="1"/>
    <xf numFmtId="164" fontId="0" fillId="0" borderId="1" xfId="1" applyNumberFormat="1" applyFont="1" applyFill="1" applyBorder="1"/>
    <xf numFmtId="164" fontId="5" fillId="4" borderId="1" xfId="1" applyNumberFormat="1" applyFont="1" applyFill="1" applyBorder="1"/>
    <xf numFmtId="0" fontId="5" fillId="5" borderId="1" xfId="0" applyFont="1" applyFill="1" applyBorder="1"/>
    <xf numFmtId="164" fontId="5" fillId="5" borderId="1" xfId="1" applyNumberFormat="1" applyFont="1" applyFill="1" applyBorder="1"/>
    <xf numFmtId="0" fontId="0" fillId="0" borderId="3" xfId="0" applyBorder="1"/>
    <xf numFmtId="0" fontId="7" fillId="0" borderId="0" xfId="3"/>
    <xf numFmtId="0" fontId="5" fillId="0" borderId="0" xfId="0" applyFont="1"/>
    <xf numFmtId="0" fontId="0" fillId="0" borderId="5" xfId="0" applyBorder="1"/>
    <xf numFmtId="0" fontId="0" fillId="0" borderId="6" xfId="0" applyBorder="1"/>
    <xf numFmtId="0" fontId="0" fillId="0" borderId="4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5" fillId="0" borderId="0" xfId="0" applyFont="1" applyAlignment="1">
      <alignment vertical="center" wrapText="1"/>
    </xf>
    <xf numFmtId="0" fontId="0" fillId="0" borderId="11" xfId="0" applyBorder="1"/>
    <xf numFmtId="0" fontId="5" fillId="4" borderId="0" xfId="0" applyFont="1" applyFill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64" fontId="0" fillId="2" borderId="1" xfId="1" applyNumberFormat="1" applyFont="1" applyFill="1" applyBorder="1" applyAlignment="1" applyProtection="1">
      <alignment horizontal="right"/>
      <protection locked="0"/>
    </xf>
    <xf numFmtId="9" fontId="0" fillId="2" borderId="1" xfId="2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3" xfId="0" applyNumberFormat="1" applyFill="1" applyBorder="1" applyAlignment="1" applyProtection="1">
      <alignment horizontal="right"/>
      <protection locked="0"/>
    </xf>
    <xf numFmtId="41" fontId="0" fillId="2" borderId="1" xfId="0" applyNumberFormat="1" applyFill="1" applyBorder="1" applyProtection="1">
      <protection locked="0"/>
    </xf>
    <xf numFmtId="164" fontId="0" fillId="2" borderId="0" xfId="0" applyNumberFormat="1" applyFill="1"/>
    <xf numFmtId="9" fontId="0" fillId="0" borderId="0" xfId="2" applyFont="1"/>
    <xf numFmtId="10" fontId="0" fillId="0" borderId="0" xfId="2" applyNumberFormat="1" applyFont="1"/>
    <xf numFmtId="164" fontId="0" fillId="2" borderId="17" xfId="1" applyNumberFormat="1" applyFont="1" applyFill="1" applyBorder="1" applyAlignment="1" applyProtection="1">
      <alignment horizontal="right"/>
      <protection locked="0"/>
    </xf>
    <xf numFmtId="0" fontId="5" fillId="6" borderId="1" xfId="0" applyFont="1" applyFill="1" applyBorder="1" applyAlignment="1">
      <alignment horizontal="left"/>
    </xf>
    <xf numFmtId="0" fontId="6" fillId="6" borderId="0" xfId="0" applyFont="1" applyFill="1" applyAlignment="1">
      <alignment horizontal="center"/>
    </xf>
    <xf numFmtId="0" fontId="6" fillId="4" borderId="0" xfId="0" applyFont="1" applyFill="1" applyAlignment="1">
      <alignment horizontal="center"/>
    </xf>
    <xf numFmtId="0" fontId="5" fillId="4" borderId="0" xfId="0" applyFont="1" applyFill="1" applyAlignment="1">
      <alignment horizontal="left" vertical="center" wrapText="1"/>
    </xf>
  </cellXfs>
  <cellStyles count="4">
    <cellStyle name="Hyperlink" xfId="3" builtinId="8"/>
    <cellStyle name="Procent" xfId="2" builtinId="5"/>
    <cellStyle name="Standaard" xfId="0" builtinId="0"/>
    <cellStyle name="Valuta" xfId="1" builtinId="4"/>
  </cellStyles>
  <dxfs count="0"/>
  <tableStyles count="0" defaultTableStyle="TableStyleMedium2" defaultPivotStyle="PivotStyleLight16"/>
  <colors>
    <mruColors>
      <color rgb="FFF08910"/>
      <color rgb="FF3E6C7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11393</xdr:colOff>
      <xdr:row>1</xdr:row>
      <xdr:rowOff>27200</xdr:rowOff>
    </xdr:from>
    <xdr:to>
      <xdr:col>3</xdr:col>
      <xdr:colOff>81856</xdr:colOff>
      <xdr:row>5</xdr:row>
      <xdr:rowOff>108199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C72C6A54-DCFC-4E78-911F-50E48C4C23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21588" y="220677"/>
          <a:ext cx="2749369" cy="854905"/>
        </a:xfrm>
        <a:prstGeom prst="rect">
          <a:avLst/>
        </a:prstGeom>
      </xdr:spPr>
    </xdr:pic>
    <xdr:clientData/>
  </xdr:twoCellAnchor>
  <xdr:twoCellAnchor editAs="oneCell">
    <xdr:from>
      <xdr:col>3</xdr:col>
      <xdr:colOff>335017</xdr:colOff>
      <xdr:row>0</xdr:row>
      <xdr:rowOff>177362</xdr:rowOff>
    </xdr:from>
    <xdr:to>
      <xdr:col>4</xdr:col>
      <xdr:colOff>334979</xdr:colOff>
      <xdr:row>6</xdr:row>
      <xdr:rowOff>3138</xdr:rowOff>
    </xdr:to>
    <xdr:pic>
      <xdr:nvPicPr>
        <xdr:cNvPr id="3" name="Afbeelding 2" descr="profielafbeelding">
          <a:extLst>
            <a:ext uri="{FF2B5EF4-FFF2-40B4-BE49-F238E27FC236}">
              <a16:creationId xmlns:a16="http://schemas.microsoft.com/office/drawing/2014/main" id="{B2375002-8BD4-436A-80F7-691A23FA2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32638" y="177362"/>
          <a:ext cx="950409" cy="968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1666873</xdr:colOff>
      <xdr:row>26</xdr:row>
      <xdr:rowOff>7441</xdr:rowOff>
    </xdr:from>
    <xdr:to>
      <xdr:col>11</xdr:col>
      <xdr:colOff>461367</xdr:colOff>
      <xdr:row>33</xdr:row>
      <xdr:rowOff>59531</xdr:rowOff>
    </xdr:to>
    <xdr:sp macro="" textlink="">
      <xdr:nvSpPr>
        <xdr:cNvPr id="4" name="Tekstballon: ovaal 3">
          <a:extLst>
            <a:ext uri="{FF2B5EF4-FFF2-40B4-BE49-F238E27FC236}">
              <a16:creationId xmlns:a16="http://schemas.microsoft.com/office/drawing/2014/main" id="{CDFE80C2-B2B7-E325-2540-4C36418C9B5D}"/>
            </a:ext>
          </a:extLst>
        </xdr:cNvPr>
        <xdr:cNvSpPr/>
      </xdr:nvSpPr>
      <xdr:spPr>
        <a:xfrm>
          <a:off x="6667498" y="5119687"/>
          <a:ext cx="4457404" cy="1406426"/>
        </a:xfrm>
        <a:prstGeom prst="wedgeEllipseCallout">
          <a:avLst>
            <a:gd name="adj1" fmla="val -83336"/>
            <a:gd name="adj2" fmla="val -50278"/>
          </a:avLst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nl-NL" sz="1100"/>
            <a:t>Vul alle</a:t>
          </a:r>
          <a:r>
            <a:rPr lang="nl-NL" sz="1100" baseline="0"/>
            <a:t> gele cellen in. </a:t>
          </a:r>
        </a:p>
        <a:p>
          <a:pPr algn="l"/>
          <a:r>
            <a:rPr lang="nl-NL" sz="1100" baseline="0"/>
            <a:t>Vul bij dividenduitkering een bedrag in dat lager of gelijk is aan de maximale dividenduitkering.</a:t>
          </a:r>
        </a:p>
        <a:p>
          <a:pPr algn="l"/>
          <a:r>
            <a:rPr lang="nl-NL" sz="1100" baseline="0"/>
            <a:t>Voor meer info over DGA-salaris, check het aparte tabblad</a:t>
          </a:r>
          <a:endParaRPr lang="nl-NL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381001</xdr:colOff>
      <xdr:row>3</xdr:row>
      <xdr:rowOff>100853</xdr:rowOff>
    </xdr:from>
    <xdr:to>
      <xdr:col>14</xdr:col>
      <xdr:colOff>149629</xdr:colOff>
      <xdr:row>30</xdr:row>
      <xdr:rowOff>44413</xdr:rowOff>
    </xdr:to>
    <xdr:pic>
      <xdr:nvPicPr>
        <xdr:cNvPr id="3" name="Afbeelding 2">
          <a:extLst>
            <a:ext uri="{FF2B5EF4-FFF2-40B4-BE49-F238E27FC236}">
              <a16:creationId xmlns:a16="http://schemas.microsoft.com/office/drawing/2014/main" id="{B8F37FD3-637E-50D1-8F7A-C3F249443B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1001" y="672353"/>
          <a:ext cx="8240275" cy="50870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https://www.belastingdienst.nl/wps/wcm/connect/bldcontentnl/belastingdienst/prive/vermogen_en_aanmerkelijk_belang/aanmerkelijk_belang/loon_en_aanmerkelijk_belan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B69825-6300-4B06-B06D-08DA268C2EE1}">
  <dimension ref="A1:L96"/>
  <sheetViews>
    <sheetView showGridLines="0" tabSelected="1" topLeftCell="B1" zoomScale="130" zoomScaleNormal="130" workbookViewId="0">
      <selection activeCell="M10" sqref="M10"/>
    </sheetView>
  </sheetViews>
  <sheetFormatPr defaultRowHeight="15" x14ac:dyDescent="0.25"/>
  <cols>
    <col min="1" max="1" width="7.7109375" hidden="1" customWidth="1"/>
    <col min="3" max="3" width="40.140625" customWidth="1"/>
    <col min="4" max="4" width="14.28515625" customWidth="1"/>
    <col min="5" max="5" width="11.42578125" customWidth="1"/>
    <col min="6" max="6" width="30.42578125" customWidth="1"/>
    <col min="7" max="8" width="14.85546875" customWidth="1"/>
    <col min="9" max="9" width="3.85546875" customWidth="1"/>
    <col min="10" max="10" width="11.7109375" customWidth="1"/>
  </cols>
  <sheetData>
    <row r="1" spans="2:10" x14ac:dyDescent="0.25">
      <c r="B1" s="37"/>
      <c r="C1" s="38"/>
      <c r="D1" s="38"/>
      <c r="E1" s="38"/>
      <c r="F1" s="38"/>
      <c r="G1" s="38"/>
      <c r="H1" s="38"/>
      <c r="I1" s="38"/>
      <c r="J1" s="39"/>
    </row>
    <row r="2" spans="2:10" ht="15" customHeight="1" x14ac:dyDescent="0.25">
      <c r="B2" s="40"/>
      <c r="F2" s="63" t="s">
        <v>111</v>
      </c>
      <c r="G2" s="41"/>
      <c r="H2" s="41"/>
      <c r="J2" s="42"/>
    </row>
    <row r="3" spans="2:10" x14ac:dyDescent="0.25">
      <c r="B3" s="40"/>
      <c r="F3" s="63"/>
      <c r="G3" s="41"/>
      <c r="H3" s="41"/>
      <c r="J3" s="42"/>
    </row>
    <row r="4" spans="2:10" x14ac:dyDescent="0.25">
      <c r="B4" s="40"/>
      <c r="F4" s="63"/>
      <c r="G4" s="41"/>
      <c r="H4" s="41"/>
      <c r="J4" s="42"/>
    </row>
    <row r="5" spans="2:10" x14ac:dyDescent="0.25">
      <c r="B5" s="40"/>
      <c r="F5" s="43" t="s">
        <v>112</v>
      </c>
      <c r="G5" s="33"/>
      <c r="H5" s="33"/>
      <c r="J5" s="42"/>
    </row>
    <row r="6" spans="2:10" x14ac:dyDescent="0.25">
      <c r="B6" s="40"/>
      <c r="F6" s="43" t="s">
        <v>113</v>
      </c>
      <c r="G6" s="33"/>
      <c r="H6" s="33"/>
      <c r="J6" s="42"/>
    </row>
    <row r="7" spans="2:10" x14ac:dyDescent="0.25">
      <c r="B7" s="40"/>
      <c r="G7" s="33"/>
      <c r="H7" s="33"/>
      <c r="I7" s="33"/>
      <c r="J7" s="42"/>
    </row>
    <row r="8" spans="2:10" x14ac:dyDescent="0.25">
      <c r="B8" s="40"/>
      <c r="C8" s="34" t="s">
        <v>114</v>
      </c>
      <c r="D8" s="35"/>
      <c r="E8" s="35"/>
      <c r="F8" s="35"/>
      <c r="G8" s="35"/>
      <c r="H8" s="35"/>
      <c r="I8" s="35"/>
      <c r="J8" s="44"/>
    </row>
    <row r="9" spans="2:10" x14ac:dyDescent="0.25">
      <c r="B9" s="40"/>
      <c r="C9" s="36" t="s">
        <v>115</v>
      </c>
      <c r="J9" s="42"/>
    </row>
    <row r="10" spans="2:10" ht="15.75" thickBot="1" x14ac:dyDescent="0.3">
      <c r="B10" s="45"/>
      <c r="C10" s="46" t="s">
        <v>116</v>
      </c>
      <c r="D10" s="47"/>
      <c r="E10" s="47"/>
      <c r="F10" s="47"/>
      <c r="G10" s="47"/>
      <c r="H10" s="47"/>
      <c r="I10" s="47"/>
      <c r="J10" s="48"/>
    </row>
    <row r="12" spans="2:10" x14ac:dyDescent="0.25">
      <c r="G12" s="33"/>
      <c r="H12" s="33"/>
      <c r="I12" s="33"/>
    </row>
    <row r="13" spans="2:10" ht="21" x14ac:dyDescent="0.35">
      <c r="C13" s="62" t="s">
        <v>117</v>
      </c>
      <c r="D13" s="62"/>
      <c r="F13" s="62" t="s">
        <v>131</v>
      </c>
      <c r="G13" s="62"/>
      <c r="H13" s="62"/>
    </row>
    <row r="15" spans="2:10" x14ac:dyDescent="0.25">
      <c r="C15" s="2" t="s">
        <v>122</v>
      </c>
      <c r="D15" s="49">
        <v>100000</v>
      </c>
      <c r="F15" s="29"/>
      <c r="G15" s="30" t="s">
        <v>120</v>
      </c>
      <c r="H15" s="30" t="s">
        <v>121</v>
      </c>
      <c r="I15" s="24"/>
      <c r="J15" s="30" t="s">
        <v>101</v>
      </c>
    </row>
    <row r="16" spans="2:10" x14ac:dyDescent="0.25">
      <c r="D16" s="50"/>
    </row>
    <row r="17" spans="3:12" x14ac:dyDescent="0.25">
      <c r="C17" s="2" t="s">
        <v>95</v>
      </c>
      <c r="D17" s="51"/>
      <c r="F17" s="2" t="s">
        <v>104</v>
      </c>
      <c r="G17" s="26">
        <f>D79</f>
        <v>19016.778499999997</v>
      </c>
      <c r="H17" s="26">
        <f>G79</f>
        <v>24887.178500000002</v>
      </c>
      <c r="I17" s="24"/>
      <c r="J17" s="27">
        <f t="shared" ref="J17:J23" si="0">H17-G17</f>
        <v>5870.4000000000051</v>
      </c>
      <c r="K17" s="1"/>
    </row>
    <row r="18" spans="3:12" x14ac:dyDescent="0.25">
      <c r="C18" s="2" t="s">
        <v>96</v>
      </c>
      <c r="D18" s="52">
        <v>0.22</v>
      </c>
      <c r="F18" s="2" t="s">
        <v>67</v>
      </c>
      <c r="G18" s="26">
        <f>-D89</f>
        <v>8334.9</v>
      </c>
      <c r="H18" s="26">
        <f>-G89</f>
        <v>5953.5</v>
      </c>
      <c r="I18" s="24"/>
      <c r="J18" s="27">
        <f t="shared" si="0"/>
        <v>-2381.3999999999996</v>
      </c>
      <c r="K18" s="1"/>
    </row>
    <row r="19" spans="3:12" x14ac:dyDescent="0.25">
      <c r="C19" s="2" t="s">
        <v>21</v>
      </c>
      <c r="D19" s="49"/>
      <c r="F19" s="2" t="s">
        <v>10</v>
      </c>
      <c r="G19" s="26">
        <f>-D85</f>
        <v>7980</v>
      </c>
      <c r="H19" s="26">
        <f>-G85</f>
        <v>5700</v>
      </c>
      <c r="I19" s="24"/>
      <c r="J19" s="27">
        <f t="shared" si="0"/>
        <v>-2280</v>
      </c>
      <c r="K19" s="1"/>
    </row>
    <row r="20" spans="3:12" x14ac:dyDescent="0.25">
      <c r="C20" s="2" t="s">
        <v>15</v>
      </c>
      <c r="D20" s="49"/>
      <c r="F20" s="20" t="s">
        <v>100</v>
      </c>
      <c r="G20" s="28">
        <f>G17+G18+G19</f>
        <v>35331.678499999995</v>
      </c>
      <c r="H20" s="28">
        <f>H17+H18+H19</f>
        <v>36540.678500000002</v>
      </c>
      <c r="I20" s="24"/>
      <c r="J20" s="28">
        <f t="shared" si="0"/>
        <v>1209.0000000000073</v>
      </c>
      <c r="K20" s="1"/>
      <c r="L20" s="1"/>
    </row>
    <row r="21" spans="3:12" x14ac:dyDescent="0.25">
      <c r="C21" s="2" t="s">
        <v>98</v>
      </c>
      <c r="D21" s="51"/>
      <c r="G21" s="24"/>
      <c r="H21" s="24"/>
      <c r="I21" s="24"/>
      <c r="J21" s="25"/>
      <c r="K21" s="1"/>
    </row>
    <row r="22" spans="3:12" x14ac:dyDescent="0.25">
      <c r="C22" s="2" t="s">
        <v>119</v>
      </c>
      <c r="D22" s="49"/>
      <c r="F22" s="2" t="s">
        <v>6</v>
      </c>
      <c r="G22" s="26">
        <f>D43-G17</f>
        <v>38983.2215</v>
      </c>
      <c r="H22" s="26">
        <f>G43-H17</f>
        <v>45112.821499999998</v>
      </c>
      <c r="I22" s="24"/>
      <c r="J22" s="27">
        <f t="shared" si="0"/>
        <v>6129.5999999999985</v>
      </c>
      <c r="K22" s="1"/>
    </row>
    <row r="23" spans="3:12" x14ac:dyDescent="0.25">
      <c r="C23" s="31" t="s">
        <v>106</v>
      </c>
      <c r="D23" s="54"/>
      <c r="F23" s="2" t="s">
        <v>102</v>
      </c>
      <c r="G23" s="26">
        <f>D88-G18</f>
        <v>25685.1</v>
      </c>
      <c r="H23" s="26">
        <f>G88-H18</f>
        <v>18346.5</v>
      </c>
      <c r="I23" s="24"/>
      <c r="J23" s="27">
        <f t="shared" si="0"/>
        <v>-7338.5999999999985</v>
      </c>
      <c r="K23" s="1"/>
    </row>
    <row r="24" spans="3:12" x14ac:dyDescent="0.25">
      <c r="C24" s="2" t="s">
        <v>93</v>
      </c>
      <c r="D24" s="53" t="s">
        <v>74</v>
      </c>
      <c r="F24" s="20" t="s">
        <v>103</v>
      </c>
      <c r="G24" s="28">
        <f>G22+G23</f>
        <v>64668.321499999998</v>
      </c>
      <c r="H24" s="28">
        <f>H22+H23</f>
        <v>63459.321499999998</v>
      </c>
      <c r="I24" s="24"/>
      <c r="J24" s="28">
        <f>H24-G24</f>
        <v>-1209</v>
      </c>
      <c r="K24" s="1"/>
    </row>
    <row r="25" spans="3:12" x14ac:dyDescent="0.25">
      <c r="G25" s="24"/>
      <c r="H25" s="24"/>
      <c r="I25" s="24"/>
      <c r="J25" s="25"/>
      <c r="K25" s="1"/>
    </row>
    <row r="26" spans="3:12" x14ac:dyDescent="0.25">
      <c r="D26" s="50"/>
      <c r="G26" s="1"/>
      <c r="H26" s="1"/>
      <c r="I26" s="1"/>
      <c r="J26" s="1"/>
      <c r="K26" s="1"/>
    </row>
    <row r="27" spans="3:12" x14ac:dyDescent="0.25">
      <c r="D27" s="60" t="s">
        <v>120</v>
      </c>
      <c r="E27" s="60" t="s">
        <v>121</v>
      </c>
      <c r="G27" s="1"/>
      <c r="H27" s="1"/>
      <c r="I27" s="1"/>
      <c r="J27" s="1"/>
      <c r="K27" s="1"/>
    </row>
    <row r="28" spans="3:12" x14ac:dyDescent="0.25">
      <c r="C28" s="2" t="s">
        <v>132</v>
      </c>
      <c r="D28" s="59">
        <v>58000</v>
      </c>
      <c r="E28" s="59">
        <v>70000</v>
      </c>
      <c r="F28" s="15"/>
      <c r="G28" s="1"/>
      <c r="H28" s="1"/>
      <c r="I28" s="1"/>
      <c r="J28" s="1"/>
      <c r="K28" s="1"/>
    </row>
    <row r="29" spans="3:12" x14ac:dyDescent="0.25">
      <c r="C29" s="2" t="s">
        <v>123</v>
      </c>
      <c r="D29" s="55">
        <v>34020</v>
      </c>
      <c r="E29" s="55">
        <v>24300</v>
      </c>
    </row>
    <row r="30" spans="3:12" x14ac:dyDescent="0.25">
      <c r="H30" s="1"/>
    </row>
    <row r="31" spans="3:12" x14ac:dyDescent="0.25">
      <c r="C31" s="2" t="s">
        <v>124</v>
      </c>
      <c r="D31" s="19">
        <f>D86</f>
        <v>34020</v>
      </c>
      <c r="E31" s="19">
        <f>G86</f>
        <v>24300</v>
      </c>
      <c r="H31" s="1"/>
    </row>
    <row r="32" spans="3:12" x14ac:dyDescent="0.25">
      <c r="D32" s="1"/>
      <c r="E32" s="1"/>
      <c r="H32" s="1"/>
    </row>
    <row r="33" spans="2:8" x14ac:dyDescent="0.25">
      <c r="D33" s="1"/>
      <c r="E33" s="1"/>
      <c r="H33" s="1"/>
    </row>
    <row r="34" spans="2:8" x14ac:dyDescent="0.25">
      <c r="H34" s="1"/>
    </row>
    <row r="35" spans="2:8" ht="21" x14ac:dyDescent="0.35">
      <c r="C35" s="61" t="s">
        <v>120</v>
      </c>
      <c r="D35" s="61"/>
      <c r="F35" s="61" t="s">
        <v>121</v>
      </c>
      <c r="G35" s="61"/>
    </row>
    <row r="37" spans="2:8" ht="21" x14ac:dyDescent="0.35">
      <c r="C37" s="61" t="s">
        <v>118</v>
      </c>
      <c r="D37" s="61"/>
      <c r="F37" s="61" t="s">
        <v>118</v>
      </c>
      <c r="G37" s="61"/>
    </row>
    <row r="39" spans="2:8" ht="21" x14ac:dyDescent="0.35">
      <c r="C39" s="62" t="s">
        <v>7</v>
      </c>
      <c r="D39" s="62"/>
      <c r="F39" s="62" t="s">
        <v>7</v>
      </c>
      <c r="G39" s="62"/>
    </row>
    <row r="40" spans="2:8" x14ac:dyDescent="0.25">
      <c r="D40" s="1"/>
      <c r="G40" s="1"/>
    </row>
    <row r="41" spans="2:8" x14ac:dyDescent="0.25">
      <c r="C41" s="2" t="s">
        <v>0</v>
      </c>
      <c r="D41" s="19">
        <f>D15</f>
        <v>100000</v>
      </c>
      <c r="F41" s="2" t="s">
        <v>0</v>
      </c>
      <c r="G41" s="19">
        <f>D15</f>
        <v>100000</v>
      </c>
    </row>
    <row r="42" spans="2:8" x14ac:dyDescent="0.25">
      <c r="D42" s="1"/>
      <c r="G42" s="1"/>
    </row>
    <row r="43" spans="2:8" x14ac:dyDescent="0.25">
      <c r="C43" s="2" t="s">
        <v>8</v>
      </c>
      <c r="D43" s="19">
        <f>D28</f>
        <v>58000</v>
      </c>
      <c r="F43" s="2" t="s">
        <v>8</v>
      </c>
      <c r="G43" s="19">
        <f>E28</f>
        <v>70000</v>
      </c>
    </row>
    <row r="44" spans="2:8" x14ac:dyDescent="0.25">
      <c r="D44" s="1"/>
      <c r="G44" s="1"/>
    </row>
    <row r="45" spans="2:8" x14ac:dyDescent="0.25">
      <c r="C45" s="2" t="s">
        <v>97</v>
      </c>
      <c r="D45" s="19">
        <f>D17*D18</f>
        <v>0</v>
      </c>
      <c r="F45" s="2" t="s">
        <v>97</v>
      </c>
      <c r="G45" s="19">
        <f>D17*D18</f>
        <v>0</v>
      </c>
    </row>
    <row r="46" spans="2:8" x14ac:dyDescent="0.25">
      <c r="C46" s="2"/>
      <c r="D46" s="19"/>
      <c r="F46" s="2"/>
      <c r="G46" s="19"/>
    </row>
    <row r="47" spans="2:8" x14ac:dyDescent="0.25">
      <c r="C47" s="2"/>
      <c r="D47" s="19"/>
      <c r="F47" s="2"/>
      <c r="G47" s="19"/>
    </row>
    <row r="48" spans="2:8" x14ac:dyDescent="0.25">
      <c r="B48" s="4"/>
      <c r="C48" s="21" t="s">
        <v>12</v>
      </c>
      <c r="D48" s="21">
        <f>SUM(D43:D47)</f>
        <v>58000</v>
      </c>
      <c r="E48" s="1"/>
      <c r="F48" s="21" t="s">
        <v>12</v>
      </c>
      <c r="G48" s="21">
        <f>SUM(G43:G47)</f>
        <v>70000</v>
      </c>
    </row>
    <row r="49" spans="1:7" x14ac:dyDescent="0.25">
      <c r="C49" s="1"/>
      <c r="D49" s="1"/>
      <c r="E49" s="1"/>
      <c r="F49" s="1"/>
      <c r="G49" s="1"/>
    </row>
    <row r="50" spans="1:7" x14ac:dyDescent="0.25">
      <c r="A50" s="4">
        <v>0.127</v>
      </c>
      <c r="C50" s="1"/>
      <c r="D50" s="1"/>
      <c r="E50" s="1"/>
      <c r="F50" s="1"/>
      <c r="G50" s="1"/>
    </row>
    <row r="51" spans="1:7" x14ac:dyDescent="0.25">
      <c r="C51" s="1"/>
      <c r="D51" s="1"/>
      <c r="E51" s="1"/>
      <c r="F51" s="1"/>
      <c r="G51" s="1"/>
    </row>
    <row r="52" spans="1:7" x14ac:dyDescent="0.25">
      <c r="C52" s="21" t="s">
        <v>5</v>
      </c>
      <c r="D52" s="21">
        <f>D48</f>
        <v>58000</v>
      </c>
      <c r="E52" s="1"/>
      <c r="F52" s="21" t="s">
        <v>5</v>
      </c>
      <c r="G52" s="21">
        <f>G48</f>
        <v>70000</v>
      </c>
    </row>
    <row r="53" spans="1:7" x14ac:dyDescent="0.25">
      <c r="C53" s="1"/>
      <c r="D53" s="1"/>
      <c r="E53" s="1"/>
      <c r="F53" s="1"/>
      <c r="G53" s="1"/>
    </row>
    <row r="54" spans="1:7" x14ac:dyDescent="0.25">
      <c r="C54" s="19" t="s">
        <v>82</v>
      </c>
      <c r="D54" s="19">
        <f>-D21</f>
        <v>0</v>
      </c>
      <c r="E54" s="1"/>
      <c r="F54" s="19" t="s">
        <v>82</v>
      </c>
      <c r="G54" s="19">
        <f>-D21</f>
        <v>0</v>
      </c>
    </row>
    <row r="55" spans="1:7" x14ac:dyDescent="0.25">
      <c r="C55" s="19" t="s">
        <v>83</v>
      </c>
      <c r="D55" s="19">
        <f>-D22</f>
        <v>0</v>
      </c>
      <c r="E55" s="1"/>
      <c r="F55" s="19" t="s">
        <v>83</v>
      </c>
      <c r="G55" s="19">
        <f>-D22</f>
        <v>0</v>
      </c>
    </row>
    <row r="56" spans="1:7" x14ac:dyDescent="0.25">
      <c r="C56" s="1"/>
      <c r="D56" s="1"/>
      <c r="E56" s="1"/>
      <c r="F56" s="1"/>
      <c r="G56" s="1"/>
    </row>
    <row r="57" spans="1:7" x14ac:dyDescent="0.25">
      <c r="C57" s="21" t="s">
        <v>13</v>
      </c>
      <c r="D57" s="21">
        <f>D52+D54+D55</f>
        <v>58000</v>
      </c>
      <c r="E57" s="1"/>
      <c r="F57" s="21" t="s">
        <v>13</v>
      </c>
      <c r="G57" s="21">
        <f>G52+G54+G55</f>
        <v>70000</v>
      </c>
    </row>
    <row r="58" spans="1:7" x14ac:dyDescent="0.25">
      <c r="C58" s="1"/>
      <c r="D58" s="1"/>
      <c r="E58" s="1"/>
      <c r="F58" s="1"/>
      <c r="G58" s="1"/>
    </row>
    <row r="59" spans="1:7" x14ac:dyDescent="0.25">
      <c r="C59" s="19" t="s">
        <v>14</v>
      </c>
      <c r="D59" s="19">
        <f>-Blad3!D10</f>
        <v>0</v>
      </c>
      <c r="E59" s="1"/>
      <c r="F59" s="19" t="s">
        <v>14</v>
      </c>
      <c r="G59" s="19">
        <f>-Blad3!D10</f>
        <v>0</v>
      </c>
    </row>
    <row r="60" spans="1:7" x14ac:dyDescent="0.25">
      <c r="C60" s="1"/>
      <c r="D60" s="1"/>
      <c r="E60" s="1"/>
      <c r="F60" s="1"/>
      <c r="G60" s="1"/>
    </row>
    <row r="61" spans="1:7" x14ac:dyDescent="0.25">
      <c r="C61" s="20" t="s">
        <v>16</v>
      </c>
      <c r="D61" s="21">
        <f>D57+D59</f>
        <v>58000</v>
      </c>
      <c r="E61" s="1"/>
      <c r="F61" s="20" t="s">
        <v>16</v>
      </c>
      <c r="G61" s="21">
        <f>G57+G59</f>
        <v>70000</v>
      </c>
    </row>
    <row r="62" spans="1:7" x14ac:dyDescent="0.25">
      <c r="C62" s="1"/>
      <c r="D62" s="1"/>
      <c r="E62" s="1"/>
      <c r="F62" s="1"/>
      <c r="G62" s="1"/>
    </row>
    <row r="63" spans="1:7" x14ac:dyDescent="0.25">
      <c r="A63" s="4">
        <v>0.35749999999999998</v>
      </c>
      <c r="C63" s="19" t="s">
        <v>26</v>
      </c>
      <c r="D63" s="19">
        <f>A63*Blad3!L18</f>
        <v>13900.672499999999</v>
      </c>
      <c r="E63" s="1"/>
      <c r="F63" s="19" t="s">
        <v>26</v>
      </c>
      <c r="G63" s="19">
        <f>A63*Blad3!M18</f>
        <v>13900.672499999999</v>
      </c>
    </row>
    <row r="64" spans="1:7" x14ac:dyDescent="0.25">
      <c r="A64" s="4">
        <v>0.37559999999999999</v>
      </c>
      <c r="C64" s="19" t="s">
        <v>27</v>
      </c>
      <c r="D64" s="19">
        <f>A64*Blad3!L19</f>
        <v>7180.3451999999997</v>
      </c>
      <c r="E64" s="1"/>
      <c r="F64" s="19" t="s">
        <v>27</v>
      </c>
      <c r="G64" s="19">
        <f>A64*Blad3!M19</f>
        <v>11687.5452</v>
      </c>
    </row>
    <row r="65" spans="1:11" x14ac:dyDescent="0.25">
      <c r="A65" s="4">
        <v>0.495</v>
      </c>
      <c r="C65" s="19" t="s">
        <v>28</v>
      </c>
      <c r="D65" s="19">
        <f>A65*Blad3!L20</f>
        <v>0</v>
      </c>
      <c r="E65" s="1"/>
      <c r="F65" s="19" t="s">
        <v>28</v>
      </c>
      <c r="G65" s="19">
        <f>A65*Blad3!M20</f>
        <v>0</v>
      </c>
      <c r="J65" s="1"/>
      <c r="K65" s="58"/>
    </row>
    <row r="66" spans="1:11" x14ac:dyDescent="0.25">
      <c r="C66" s="21" t="s">
        <v>31</v>
      </c>
      <c r="D66" s="21">
        <f>SUM(D63:D65)</f>
        <v>21081.017699999997</v>
      </c>
      <c r="E66" s="1"/>
      <c r="F66" s="21" t="s">
        <v>31</v>
      </c>
      <c r="G66" s="21">
        <f>SUM(G63:G65)</f>
        <v>25588.217700000001</v>
      </c>
      <c r="J66" s="1"/>
      <c r="K66" s="58"/>
    </row>
    <row r="67" spans="1:11" x14ac:dyDescent="0.25">
      <c r="C67" s="1"/>
      <c r="D67" s="1"/>
      <c r="E67" s="1"/>
      <c r="F67" s="1"/>
      <c r="G67" s="1"/>
      <c r="J67" s="1"/>
      <c r="K67" s="58"/>
    </row>
    <row r="68" spans="1:11" x14ac:dyDescent="0.25">
      <c r="C68" s="19" t="s">
        <v>46</v>
      </c>
      <c r="D68" s="19">
        <f>Blad3!D48</f>
        <v>0</v>
      </c>
      <c r="E68" s="1"/>
      <c r="F68" s="19" t="s">
        <v>46</v>
      </c>
      <c r="G68" s="19">
        <f>Blad3!E48</f>
        <v>0</v>
      </c>
      <c r="K68" s="58"/>
    </row>
    <row r="69" spans="1:11" x14ac:dyDescent="0.25">
      <c r="C69" s="21" t="s">
        <v>32</v>
      </c>
      <c r="D69" s="21">
        <f>SUM(D66:D68)</f>
        <v>21081.017699999997</v>
      </c>
      <c r="E69" s="1"/>
      <c r="F69" s="21" t="s">
        <v>32</v>
      </c>
      <c r="G69" s="21">
        <f>SUM(G66:G68)</f>
        <v>25588.217700000001</v>
      </c>
      <c r="K69" s="57"/>
    </row>
    <row r="70" spans="1:11" x14ac:dyDescent="0.25">
      <c r="C70" s="1"/>
      <c r="D70" s="1"/>
      <c r="E70" s="1"/>
      <c r="F70" s="1"/>
      <c r="G70" s="1"/>
    </row>
    <row r="71" spans="1:11" x14ac:dyDescent="0.25">
      <c r="A71" s="4">
        <v>4.8500000000000001E-2</v>
      </c>
      <c r="C71" s="19" t="s">
        <v>33</v>
      </c>
      <c r="D71" s="19">
        <f>IF(D52&gt;79409,79409*A71,D52*A71)</f>
        <v>2813</v>
      </c>
      <c r="E71" s="1"/>
      <c r="F71" s="19" t="s">
        <v>33</v>
      </c>
      <c r="G71" s="19">
        <f>IF(G52&gt;79409,79409*A71,G52*A71)</f>
        <v>3395</v>
      </c>
    </row>
    <row r="72" spans="1:11" x14ac:dyDescent="0.25">
      <c r="C72" s="1"/>
      <c r="D72" s="1"/>
      <c r="E72" s="1"/>
      <c r="F72" s="1"/>
      <c r="G72" s="1"/>
    </row>
    <row r="73" spans="1:11" x14ac:dyDescent="0.25">
      <c r="C73" s="19" t="s">
        <v>32</v>
      </c>
      <c r="D73" s="19">
        <f>D69</f>
        <v>21081.017699999997</v>
      </c>
      <c r="E73" s="1"/>
      <c r="F73" s="19" t="s">
        <v>32</v>
      </c>
      <c r="G73" s="19">
        <f>G69</f>
        <v>25588.217700000001</v>
      </c>
    </row>
    <row r="74" spans="1:11" x14ac:dyDescent="0.25">
      <c r="C74" s="19" t="s">
        <v>2</v>
      </c>
      <c r="D74" s="19">
        <f>-Blad3!R71</f>
        <v>-4877.2392</v>
      </c>
      <c r="E74" s="1"/>
      <c r="F74" s="19" t="s">
        <v>2</v>
      </c>
      <c r="G74" s="19">
        <f>-Blad3!S71</f>
        <v>-4096.0392000000002</v>
      </c>
    </row>
    <row r="75" spans="1:11" x14ac:dyDescent="0.25">
      <c r="C75" s="19" t="s">
        <v>3</v>
      </c>
      <c r="D75" s="19">
        <f>-Blad3!R87</f>
        <v>0</v>
      </c>
      <c r="E75" s="1"/>
      <c r="F75" s="19" t="s">
        <v>3</v>
      </c>
      <c r="G75" s="19">
        <f>-Blad3!U87</f>
        <v>0</v>
      </c>
    </row>
    <row r="76" spans="1:11" x14ac:dyDescent="0.25">
      <c r="C76" s="21" t="s">
        <v>32</v>
      </c>
      <c r="D76" s="21">
        <f>D73+D74+D75</f>
        <v>16203.778499999997</v>
      </c>
      <c r="E76" s="1"/>
      <c r="F76" s="21" t="s">
        <v>32</v>
      </c>
      <c r="G76" s="21">
        <f>G73+G74+G75</f>
        <v>21492.178500000002</v>
      </c>
    </row>
    <row r="77" spans="1:11" x14ac:dyDescent="0.25">
      <c r="C77" s="1"/>
      <c r="D77" s="1"/>
      <c r="E77" s="1"/>
      <c r="F77" s="1"/>
      <c r="G77" s="1"/>
    </row>
    <row r="78" spans="1:11" x14ac:dyDescent="0.25">
      <c r="C78" s="1"/>
      <c r="D78" s="1"/>
      <c r="E78" s="1"/>
      <c r="F78" s="1"/>
      <c r="G78" s="1"/>
    </row>
    <row r="79" spans="1:11" x14ac:dyDescent="0.25">
      <c r="C79" s="19" t="s">
        <v>99</v>
      </c>
      <c r="D79" s="19">
        <f>D76+D71</f>
        <v>19016.778499999997</v>
      </c>
      <c r="E79" s="1"/>
      <c r="F79" s="19" t="s">
        <v>99</v>
      </c>
      <c r="G79" s="19">
        <f>G76+G71</f>
        <v>24887.178500000002</v>
      </c>
    </row>
    <row r="80" spans="1:11" x14ac:dyDescent="0.25">
      <c r="C80" s="21" t="s">
        <v>6</v>
      </c>
      <c r="D80" s="21">
        <f>D43-D79</f>
        <v>38983.2215</v>
      </c>
      <c r="E80" s="1"/>
      <c r="F80" s="21" t="s">
        <v>6</v>
      </c>
      <c r="G80" s="21">
        <f>G43-G79</f>
        <v>45112.821499999998</v>
      </c>
    </row>
    <row r="81" spans="3:11" x14ac:dyDescent="0.25">
      <c r="C81" s="1"/>
      <c r="D81" s="1"/>
      <c r="E81" s="1"/>
      <c r="F81" s="1"/>
      <c r="G81" s="1"/>
    </row>
    <row r="82" spans="3:11" x14ac:dyDescent="0.25">
      <c r="D82" s="1"/>
      <c r="G82" s="1"/>
    </row>
    <row r="83" spans="3:11" x14ac:dyDescent="0.25">
      <c r="D83" s="1"/>
      <c r="G83" s="1"/>
    </row>
    <row r="84" spans="3:11" x14ac:dyDescent="0.25">
      <c r="C84" s="2" t="s">
        <v>9</v>
      </c>
      <c r="D84" s="19">
        <f>D41-D43</f>
        <v>42000</v>
      </c>
      <c r="F84" s="2" t="s">
        <v>9</v>
      </c>
      <c r="G84" s="19">
        <f>G41-G43</f>
        <v>30000</v>
      </c>
      <c r="K84" s="4"/>
    </row>
    <row r="85" spans="3:11" x14ac:dyDescent="0.25">
      <c r="C85" s="2" t="s">
        <v>10</v>
      </c>
      <c r="D85" s="19">
        <f>-Blad4!E19</f>
        <v>-7980</v>
      </c>
      <c r="F85" s="2" t="s">
        <v>10</v>
      </c>
      <c r="G85" s="19">
        <f>-Blad4!L19</f>
        <v>-5700</v>
      </c>
    </row>
    <row r="86" spans="3:11" x14ac:dyDescent="0.25">
      <c r="C86" s="21" t="s">
        <v>87</v>
      </c>
      <c r="D86" s="21">
        <f>D84+D85</f>
        <v>34020</v>
      </c>
      <c r="F86" s="21" t="s">
        <v>87</v>
      </c>
      <c r="G86" s="21">
        <f>G84+G85</f>
        <v>24300</v>
      </c>
      <c r="K86" s="5"/>
    </row>
    <row r="87" spans="3:11" x14ac:dyDescent="0.25">
      <c r="D87" s="1"/>
      <c r="G87" s="1"/>
    </row>
    <row r="88" spans="3:11" x14ac:dyDescent="0.25">
      <c r="C88" s="2" t="s">
        <v>88</v>
      </c>
      <c r="D88" s="19">
        <f>D29</f>
        <v>34020</v>
      </c>
      <c r="F88" s="2" t="s">
        <v>88</v>
      </c>
      <c r="G88" s="19">
        <f>E29</f>
        <v>24300</v>
      </c>
    </row>
    <row r="89" spans="3:11" x14ac:dyDescent="0.25">
      <c r="C89" s="2" t="s">
        <v>11</v>
      </c>
      <c r="D89" s="19">
        <f>IF(D24="ja",-Blad4!N33,-Blad4!M33)</f>
        <v>-8334.9</v>
      </c>
      <c r="F89" s="2" t="s">
        <v>11</v>
      </c>
      <c r="G89" s="19">
        <f>IF(D24="ja",-Blad4!N48,-Blad4!M48)</f>
        <v>-5953.5</v>
      </c>
    </row>
    <row r="90" spans="3:11" x14ac:dyDescent="0.25">
      <c r="C90" s="21" t="s">
        <v>94</v>
      </c>
      <c r="D90" s="21">
        <f>D88+D89</f>
        <v>25685.1</v>
      </c>
      <c r="F90" s="21" t="s">
        <v>94</v>
      </c>
      <c r="G90" s="21">
        <f>G88+G89</f>
        <v>18346.5</v>
      </c>
    </row>
    <row r="92" spans="3:11" x14ac:dyDescent="0.25">
      <c r="G92" s="1"/>
    </row>
    <row r="93" spans="3:11" x14ac:dyDescent="0.25">
      <c r="G93" s="1"/>
    </row>
    <row r="94" spans="3:11" x14ac:dyDescent="0.25">
      <c r="C94" s="4"/>
      <c r="G94" s="1"/>
    </row>
    <row r="95" spans="3:11" x14ac:dyDescent="0.25">
      <c r="C95" s="4"/>
      <c r="G95" s="1"/>
    </row>
    <row r="96" spans="3:11" x14ac:dyDescent="0.25">
      <c r="C96" s="4"/>
      <c r="G96" s="1"/>
    </row>
  </sheetData>
  <sheetProtection algorithmName="SHA-512" hashValue="VmL0sp8wHuDro3WSeFr0A8aXAqNWxT3JknOVeJrRmuauNgkpqerI88guTz6snE6dBxDyXKHOUvmJnosm5iS3CQ==" saltValue="Br4ANwUC4nJLG8+zOuO/8Q==" spinCount="100000" sheet="1" objects="1" scenarios="1"/>
  <mergeCells count="9">
    <mergeCell ref="F37:G37"/>
    <mergeCell ref="F39:G39"/>
    <mergeCell ref="C39:D39"/>
    <mergeCell ref="F2:F4"/>
    <mergeCell ref="C13:D13"/>
    <mergeCell ref="F13:H13"/>
    <mergeCell ref="C37:D37"/>
    <mergeCell ref="C35:D35"/>
    <mergeCell ref="F35:G35"/>
  </mergeCells>
  <dataValidations count="1">
    <dataValidation type="custom" allowBlank="1" showInputMessage="1" showErrorMessage="1" sqref="D29" xr:uid="{6D5BBC6E-DA16-47FB-95BC-A9FC03D9BCF0}">
      <formula1>MAX(D31)</formula1>
    </dataValidation>
  </dataValidations>
  <pageMargins left="0.7" right="0.7" top="0.75" bottom="0.75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EC235A25-A76C-4293-928C-3861645AF7E6}">
          <x14:formula1>
            <xm:f>'ja-nee'!$A$1:$A$2</xm:f>
          </x14:formula1>
          <xm:sqref>D24 O17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D628E1-41AD-4FC5-ABB8-244057B74C2D}">
  <dimension ref="B37"/>
  <sheetViews>
    <sheetView topLeftCell="A4" zoomScale="115" zoomScaleNormal="115" workbookViewId="0">
      <selection activeCell="E35" sqref="E35:E36"/>
    </sheetView>
  </sheetViews>
  <sheetFormatPr defaultRowHeight="15" x14ac:dyDescent="0.25"/>
  <sheetData>
    <row r="37" spans="2:2" x14ac:dyDescent="0.25">
      <c r="B37" s="32" t="s">
        <v>105</v>
      </c>
    </row>
  </sheetData>
  <hyperlinks>
    <hyperlink ref="B37" r:id="rId1" xr:uid="{74CD386F-A248-4232-BEC6-184F6F30E96C}"/>
  </hyperlinks>
  <pageMargins left="0.7" right="0.7" top="0.75" bottom="0.75" header="0.3" footer="0.3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59E6DD-DC8C-4588-AC53-6B3859920445}">
  <dimension ref="A5:Q48"/>
  <sheetViews>
    <sheetView zoomScale="190" zoomScaleNormal="190" workbookViewId="0">
      <selection activeCell="E49" sqref="E49"/>
    </sheetView>
  </sheetViews>
  <sheetFormatPr defaultRowHeight="15" x14ac:dyDescent="0.25"/>
  <sheetData>
    <row r="5" spans="1:12" x14ac:dyDescent="0.25">
      <c r="A5" t="s">
        <v>125</v>
      </c>
      <c r="I5" t="s">
        <v>126</v>
      </c>
    </row>
    <row r="7" spans="1:12" x14ac:dyDescent="0.25">
      <c r="C7" t="s">
        <v>63</v>
      </c>
      <c r="J7" t="s">
        <v>63</v>
      </c>
    </row>
    <row r="9" spans="1:12" x14ac:dyDescent="0.25">
      <c r="C9">
        <v>0</v>
      </c>
      <c r="D9">
        <v>200000</v>
      </c>
      <c r="E9" s="17">
        <v>0.19</v>
      </c>
      <c r="J9">
        <v>0</v>
      </c>
      <c r="K9">
        <v>200000</v>
      </c>
      <c r="L9" s="17">
        <v>0.19</v>
      </c>
    </row>
    <row r="10" spans="1:12" x14ac:dyDescent="0.25">
      <c r="C10">
        <v>200000</v>
      </c>
      <c r="E10" s="4">
        <v>0.25800000000000001</v>
      </c>
      <c r="J10">
        <v>200000</v>
      </c>
      <c r="L10" s="4">
        <v>0.25800000000000001</v>
      </c>
    </row>
    <row r="13" spans="1:12" x14ac:dyDescent="0.25">
      <c r="C13" t="s">
        <v>64</v>
      </c>
      <c r="J13" t="s">
        <v>64</v>
      </c>
    </row>
    <row r="14" spans="1:12" x14ac:dyDescent="0.25">
      <c r="C14">
        <f>Rekentool!D84</f>
        <v>42000</v>
      </c>
      <c r="J14">
        <f>Rekentool!G84</f>
        <v>30000</v>
      </c>
    </row>
    <row r="16" spans="1:12" x14ac:dyDescent="0.25">
      <c r="B16" t="s">
        <v>65</v>
      </c>
      <c r="C16">
        <f>MIN(200000,C14)</f>
        <v>42000</v>
      </c>
      <c r="D16" s="17">
        <v>0.19</v>
      </c>
      <c r="E16">
        <f>C16*D16</f>
        <v>7980</v>
      </c>
      <c r="I16" t="s">
        <v>65</v>
      </c>
      <c r="J16">
        <f>MIN(200000,J14)</f>
        <v>30000</v>
      </c>
      <c r="K16" s="17">
        <v>0.19</v>
      </c>
      <c r="L16">
        <f>J16*K16</f>
        <v>5700</v>
      </c>
    </row>
    <row r="17" spans="1:17" x14ac:dyDescent="0.25">
      <c r="B17" t="s">
        <v>66</v>
      </c>
      <c r="C17">
        <f>C14-C16</f>
        <v>0</v>
      </c>
      <c r="D17" s="4">
        <v>0.25800000000000001</v>
      </c>
      <c r="E17">
        <f>C17*D17</f>
        <v>0</v>
      </c>
      <c r="I17" t="s">
        <v>66</v>
      </c>
      <c r="J17">
        <f>J14-J16</f>
        <v>0</v>
      </c>
      <c r="K17" s="4">
        <v>0.25800000000000001</v>
      </c>
      <c r="L17">
        <f>J17*K17</f>
        <v>0</v>
      </c>
    </row>
    <row r="19" spans="1:17" x14ac:dyDescent="0.25">
      <c r="E19">
        <f>E16+E17</f>
        <v>7980</v>
      </c>
      <c r="L19">
        <f>L16+L17</f>
        <v>5700</v>
      </c>
    </row>
    <row r="22" spans="1:17" x14ac:dyDescent="0.25">
      <c r="A22" s="18" t="s">
        <v>125</v>
      </c>
      <c r="C22" t="s">
        <v>67</v>
      </c>
    </row>
    <row r="24" spans="1:17" x14ac:dyDescent="0.25">
      <c r="A24" t="s">
        <v>68</v>
      </c>
      <c r="B24">
        <v>68843</v>
      </c>
      <c r="D24" t="s">
        <v>70</v>
      </c>
      <c r="E24" s="4">
        <v>0.245</v>
      </c>
      <c r="M24" t="s">
        <v>125</v>
      </c>
    </row>
    <row r="25" spans="1:17" x14ac:dyDescent="0.25">
      <c r="A25" t="s">
        <v>69</v>
      </c>
      <c r="B25">
        <f>B24*2</f>
        <v>137686</v>
      </c>
      <c r="D25" t="s">
        <v>71</v>
      </c>
      <c r="E25" s="17">
        <v>0.31</v>
      </c>
    </row>
    <row r="26" spans="1:17" x14ac:dyDescent="0.25">
      <c r="M26" t="s">
        <v>92</v>
      </c>
    </row>
    <row r="27" spans="1:17" x14ac:dyDescent="0.25">
      <c r="J27" t="s">
        <v>90</v>
      </c>
      <c r="K27" t="s">
        <v>91</v>
      </c>
      <c r="M27" t="s">
        <v>90</v>
      </c>
      <c r="N27" t="s">
        <v>91</v>
      </c>
    </row>
    <row r="28" spans="1:17" x14ac:dyDescent="0.25">
      <c r="B28" t="s">
        <v>72</v>
      </c>
      <c r="F28" t="s">
        <v>73</v>
      </c>
      <c r="I28" t="s">
        <v>89</v>
      </c>
      <c r="J28">
        <f>Rekentool!D88</f>
        <v>34020</v>
      </c>
      <c r="K28">
        <f>Rekentool!D88</f>
        <v>34020</v>
      </c>
    </row>
    <row r="29" spans="1:17" x14ac:dyDescent="0.25">
      <c r="M29" s="1"/>
      <c r="N29" s="1"/>
      <c r="O29" s="1"/>
      <c r="P29" s="1"/>
      <c r="Q29" s="1"/>
    </row>
    <row r="30" spans="1:17" x14ac:dyDescent="0.25">
      <c r="A30" t="s">
        <v>70</v>
      </c>
      <c r="B30">
        <v>0</v>
      </c>
      <c r="C30">
        <f>B24</f>
        <v>68843</v>
      </c>
      <c r="F30">
        <v>0</v>
      </c>
      <c r="G30">
        <f>C30*2</f>
        <v>137686</v>
      </c>
      <c r="I30" t="s">
        <v>70</v>
      </c>
      <c r="J30">
        <f>MIN(C30,J28)</f>
        <v>34020</v>
      </c>
      <c r="K30">
        <f>MIN(K28,G30)</f>
        <v>34020</v>
      </c>
      <c r="M30" s="1">
        <f>J30*E24</f>
        <v>8334.9</v>
      </c>
      <c r="N30" s="1">
        <f>E24*K30</f>
        <v>8334.9</v>
      </c>
      <c r="O30" s="1"/>
      <c r="P30" s="1">
        <f>M30*H24</f>
        <v>0</v>
      </c>
      <c r="Q30" s="1">
        <f>H24*N30</f>
        <v>0</v>
      </c>
    </row>
    <row r="31" spans="1:17" x14ac:dyDescent="0.25">
      <c r="A31" t="s">
        <v>71</v>
      </c>
      <c r="B31">
        <f>C30</f>
        <v>68843</v>
      </c>
      <c r="F31">
        <f>G30</f>
        <v>137686</v>
      </c>
      <c r="I31" t="s">
        <v>71</v>
      </c>
      <c r="J31">
        <f>J28-J30</f>
        <v>0</v>
      </c>
      <c r="K31">
        <f>K28-K30</f>
        <v>0</v>
      </c>
      <c r="M31" s="1">
        <f>J31*E25</f>
        <v>0</v>
      </c>
      <c r="N31" s="1">
        <f>K31*E25</f>
        <v>0</v>
      </c>
      <c r="O31" s="1"/>
      <c r="P31" s="1">
        <f>M31*H25</f>
        <v>0</v>
      </c>
      <c r="Q31" s="1">
        <f>N31*H25</f>
        <v>0</v>
      </c>
    </row>
    <row r="32" spans="1:17" x14ac:dyDescent="0.25">
      <c r="M32" s="1"/>
      <c r="N32" s="1"/>
      <c r="O32" s="1"/>
      <c r="P32" s="1"/>
      <c r="Q32" s="1"/>
    </row>
    <row r="33" spans="1:17" x14ac:dyDescent="0.25">
      <c r="M33" s="1">
        <f>SUM(M30:M31)</f>
        <v>8334.9</v>
      </c>
      <c r="N33" s="1">
        <f>SUM(N30:N31)</f>
        <v>8334.9</v>
      </c>
      <c r="O33" s="1"/>
      <c r="P33" s="1">
        <f>SUM(P30:P31)</f>
        <v>0</v>
      </c>
      <c r="Q33" s="1">
        <f>SUM(Q30:Q31)</f>
        <v>0</v>
      </c>
    </row>
    <row r="34" spans="1:17" x14ac:dyDescent="0.25">
      <c r="M34" s="1"/>
      <c r="N34" s="1"/>
      <c r="O34" s="1"/>
    </row>
    <row r="37" spans="1:17" x14ac:dyDescent="0.25">
      <c r="A37" s="18" t="s">
        <v>126</v>
      </c>
      <c r="C37" t="s">
        <v>67</v>
      </c>
    </row>
    <row r="39" spans="1:17" x14ac:dyDescent="0.25">
      <c r="A39" t="s">
        <v>68</v>
      </c>
      <c r="B39">
        <f>B24</f>
        <v>68843</v>
      </c>
      <c r="D39" t="s">
        <v>70</v>
      </c>
      <c r="E39" s="4">
        <v>0.245</v>
      </c>
      <c r="M39" t="s">
        <v>125</v>
      </c>
    </row>
    <row r="40" spans="1:17" x14ac:dyDescent="0.25">
      <c r="A40" t="s">
        <v>69</v>
      </c>
      <c r="B40">
        <f>B39*2</f>
        <v>137686</v>
      </c>
      <c r="D40" t="s">
        <v>71</v>
      </c>
      <c r="E40" s="17">
        <v>0.31</v>
      </c>
    </row>
    <row r="41" spans="1:17" x14ac:dyDescent="0.25">
      <c r="M41" t="s">
        <v>92</v>
      </c>
    </row>
    <row r="42" spans="1:17" x14ac:dyDescent="0.25">
      <c r="J42" t="s">
        <v>90</v>
      </c>
      <c r="K42" t="s">
        <v>91</v>
      </c>
      <c r="M42" t="s">
        <v>90</v>
      </c>
      <c r="N42" t="s">
        <v>91</v>
      </c>
    </row>
    <row r="43" spans="1:17" x14ac:dyDescent="0.25">
      <c r="B43" t="s">
        <v>72</v>
      </c>
      <c r="F43" t="s">
        <v>73</v>
      </c>
      <c r="I43" t="s">
        <v>89</v>
      </c>
      <c r="J43">
        <f>Rekentool!G88</f>
        <v>24300</v>
      </c>
      <c r="K43">
        <f>Rekentool!G88</f>
        <v>24300</v>
      </c>
    </row>
    <row r="44" spans="1:17" x14ac:dyDescent="0.25">
      <c r="M44" s="1"/>
      <c r="N44" s="1"/>
    </row>
    <row r="45" spans="1:17" x14ac:dyDescent="0.25">
      <c r="A45" t="s">
        <v>70</v>
      </c>
      <c r="B45">
        <v>0</v>
      </c>
      <c r="C45">
        <f>B39</f>
        <v>68843</v>
      </c>
      <c r="F45">
        <v>0</v>
      </c>
      <c r="G45">
        <f>C45*2</f>
        <v>137686</v>
      </c>
      <c r="I45" t="s">
        <v>70</v>
      </c>
      <c r="J45">
        <f>MIN(C45,J43)</f>
        <v>24300</v>
      </c>
      <c r="K45">
        <f>MIN(K43,G45)</f>
        <v>24300</v>
      </c>
      <c r="M45" s="1">
        <f>J45*E39</f>
        <v>5953.5</v>
      </c>
      <c r="N45" s="1">
        <f>E39*K45</f>
        <v>5953.5</v>
      </c>
    </row>
    <row r="46" spans="1:17" x14ac:dyDescent="0.25">
      <c r="A46" t="s">
        <v>71</v>
      </c>
      <c r="B46">
        <f>C45</f>
        <v>68843</v>
      </c>
      <c r="F46">
        <f>G45</f>
        <v>137686</v>
      </c>
      <c r="I46" t="s">
        <v>71</v>
      </c>
      <c r="J46">
        <f>J43-J45</f>
        <v>0</v>
      </c>
      <c r="K46">
        <f>K43-K45</f>
        <v>0</v>
      </c>
      <c r="M46" s="1">
        <f>J46*E40</f>
        <v>0</v>
      </c>
      <c r="N46" s="1">
        <f>K46*E40</f>
        <v>0</v>
      </c>
    </row>
    <row r="47" spans="1:17" x14ac:dyDescent="0.25">
      <c r="M47" s="1"/>
      <c r="N47" s="1"/>
    </row>
    <row r="48" spans="1:17" x14ac:dyDescent="0.25">
      <c r="M48" s="1">
        <f>SUM(M45:M46)</f>
        <v>5953.5</v>
      </c>
      <c r="N48" s="1">
        <f>SUM(N45:N46)</f>
        <v>5953.5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7F5509-316D-4EF3-A1C0-8A23C248131F}">
  <dimension ref="B2:U108"/>
  <sheetViews>
    <sheetView topLeftCell="B28" zoomScale="175" zoomScaleNormal="175" workbookViewId="0">
      <selection activeCell="D47" sqref="D47"/>
    </sheetView>
  </sheetViews>
  <sheetFormatPr defaultRowHeight="15" x14ac:dyDescent="0.25"/>
  <cols>
    <col min="2" max="2" width="37.5703125" customWidth="1"/>
    <col min="3" max="3" width="16.7109375" customWidth="1"/>
    <col min="4" max="4" width="29.28515625" customWidth="1"/>
    <col min="5" max="5" width="10.5703125" bestFit="1" customWidth="1"/>
    <col min="6" max="6" width="12.5703125" bestFit="1" customWidth="1"/>
    <col min="7" max="8" width="12.42578125" customWidth="1"/>
    <col min="9" max="9" width="11.42578125" bestFit="1" customWidth="1"/>
    <col min="10" max="11" width="11.42578125" customWidth="1"/>
    <col min="12" max="12" width="10.42578125" bestFit="1" customWidth="1"/>
    <col min="13" max="13" width="11.7109375" customWidth="1"/>
    <col min="14" max="14" width="10.5703125" bestFit="1" customWidth="1"/>
    <col min="15" max="15" width="15.5703125" customWidth="1"/>
    <col min="16" max="16" width="12.140625" bestFit="1" customWidth="1"/>
    <col min="17" max="17" width="12.140625" customWidth="1"/>
    <col min="20" max="20" width="12.85546875" customWidth="1"/>
    <col min="21" max="21" width="13" bestFit="1" customWidth="1"/>
  </cols>
  <sheetData>
    <row r="2" spans="2:13" x14ac:dyDescent="0.25">
      <c r="B2" t="s">
        <v>15</v>
      </c>
      <c r="D2">
        <f>Rekentool!D20</f>
        <v>0</v>
      </c>
    </row>
    <row r="4" spans="2:13" x14ac:dyDescent="0.25">
      <c r="B4" t="s">
        <v>17</v>
      </c>
      <c r="C4">
        <v>1330000</v>
      </c>
      <c r="D4">
        <f>IF(D2&lt;C4,D2*E4,C4*E4)</f>
        <v>0</v>
      </c>
      <c r="E4" s="4">
        <v>3.5000000000000001E-3</v>
      </c>
    </row>
    <row r="5" spans="2:13" x14ac:dyDescent="0.25">
      <c r="B5" t="s">
        <v>18</v>
      </c>
      <c r="C5">
        <v>1330000</v>
      </c>
      <c r="D5">
        <f>IF(D2&lt;C5,0,(D2-C5)*E5)</f>
        <v>0</v>
      </c>
      <c r="E5" s="4">
        <v>2.35E-2</v>
      </c>
    </row>
    <row r="6" spans="2:13" x14ac:dyDescent="0.25">
      <c r="B6" t="s">
        <v>19</v>
      </c>
      <c r="D6">
        <f>D4+D5</f>
        <v>0</v>
      </c>
    </row>
    <row r="7" spans="2:13" x14ac:dyDescent="0.25">
      <c r="B7" t="s">
        <v>20</v>
      </c>
      <c r="D7">
        <f>Rekentool!D19</f>
        <v>0</v>
      </c>
    </row>
    <row r="8" spans="2:13" x14ac:dyDescent="0.25">
      <c r="B8" t="s">
        <v>22</v>
      </c>
      <c r="D8">
        <f>-D7+D6</f>
        <v>0</v>
      </c>
    </row>
    <row r="9" spans="2:13" x14ac:dyDescent="0.25">
      <c r="B9" t="s">
        <v>108</v>
      </c>
      <c r="D9">
        <f>IF(D8&gt;0,D8*D12,0)</f>
        <v>0</v>
      </c>
    </row>
    <row r="10" spans="2:13" x14ac:dyDescent="0.25">
      <c r="B10" t="s">
        <v>109</v>
      </c>
      <c r="D10" s="18">
        <f>D9-D8</f>
        <v>0</v>
      </c>
    </row>
    <row r="12" spans="2:13" x14ac:dyDescent="0.25">
      <c r="B12" t="s">
        <v>107</v>
      </c>
      <c r="D12" s="4">
        <v>0.73329999999999995</v>
      </c>
      <c r="F12" t="s">
        <v>85</v>
      </c>
      <c r="L12" t="s">
        <v>125</v>
      </c>
      <c r="M12" t="s">
        <v>126</v>
      </c>
    </row>
    <row r="13" spans="2:13" x14ac:dyDescent="0.25">
      <c r="F13" s="6"/>
    </row>
    <row r="14" spans="2:13" x14ac:dyDescent="0.25">
      <c r="F14" s="6" t="s">
        <v>36</v>
      </c>
      <c r="G14" t="s">
        <v>35</v>
      </c>
      <c r="L14" s="6"/>
    </row>
    <row r="15" spans="2:13" x14ac:dyDescent="0.25">
      <c r="F15" s="6"/>
      <c r="L15" s="6"/>
    </row>
    <row r="16" spans="2:13" x14ac:dyDescent="0.25">
      <c r="F16" s="6" t="e">
        <f>Rekentool!#REF!</f>
        <v>#REF!</v>
      </c>
      <c r="G16" s="7" t="e">
        <f>F16+D7</f>
        <v>#REF!</v>
      </c>
      <c r="H16" s="7"/>
      <c r="L16" s="13">
        <f>Rekentool!D61</f>
        <v>58000</v>
      </c>
      <c r="M16" s="7">
        <f>Rekentool!G61</f>
        <v>70000</v>
      </c>
    </row>
    <row r="17" spans="2:13" x14ac:dyDescent="0.25">
      <c r="C17" t="s">
        <v>29</v>
      </c>
      <c r="D17" t="s">
        <v>30</v>
      </c>
      <c r="F17" s="6"/>
      <c r="L17" s="6"/>
    </row>
    <row r="18" spans="2:13" x14ac:dyDescent="0.25">
      <c r="B18" t="s">
        <v>23</v>
      </c>
      <c r="C18" s="4">
        <v>0.35820000000000002</v>
      </c>
      <c r="D18">
        <v>38883</v>
      </c>
      <c r="F18" s="6" t="e">
        <f>IF(F16&gt;D18,D18,F16)</f>
        <v>#REF!</v>
      </c>
      <c r="G18" s="6" t="e">
        <f>IF(G16&gt;D18,D18,G16)</f>
        <v>#REF!</v>
      </c>
      <c r="H18" s="6"/>
      <c r="L18" s="6">
        <f>IF(L16&gt;D18,D18,L16)</f>
        <v>38883</v>
      </c>
      <c r="M18" s="6">
        <f>IF(M16&gt;D18,D18,M16)</f>
        <v>38883</v>
      </c>
    </row>
    <row r="19" spans="2:13" x14ac:dyDescent="0.25">
      <c r="B19" t="s">
        <v>24</v>
      </c>
      <c r="C19" s="4">
        <v>0.37480000000000002</v>
      </c>
      <c r="D19">
        <v>78426</v>
      </c>
      <c r="F19" s="6" t="e">
        <f>F16-F20-F18</f>
        <v>#REF!</v>
      </c>
      <c r="G19" s="6" t="e">
        <f>G16-G20-G18</f>
        <v>#REF!</v>
      </c>
      <c r="H19" s="6"/>
      <c r="L19" s="6">
        <f>L16-L20-L18</f>
        <v>19117</v>
      </c>
      <c r="M19" s="6">
        <f>M16-M20-M18</f>
        <v>31117</v>
      </c>
    </row>
    <row r="20" spans="2:13" x14ac:dyDescent="0.25">
      <c r="B20" t="s">
        <v>25</v>
      </c>
      <c r="C20" s="4">
        <v>0.495</v>
      </c>
      <c r="F20" s="6" t="e">
        <f>IF(F16&gt;D19,F16-D19,0)</f>
        <v>#REF!</v>
      </c>
      <c r="G20" s="6" t="e">
        <f>IF(G16&gt;D19,G16-D19,0)</f>
        <v>#REF!</v>
      </c>
      <c r="H20" s="6"/>
      <c r="L20" s="6">
        <f>IF(L16&gt;D19,L16-D19,0)</f>
        <v>0</v>
      </c>
      <c r="M20" s="6">
        <f>IF(M16&gt;D19,M16-D19,0)</f>
        <v>0</v>
      </c>
    </row>
    <row r="21" spans="2:13" x14ac:dyDescent="0.25">
      <c r="F21" s="6"/>
    </row>
    <row r="23" spans="2:13" x14ac:dyDescent="0.25">
      <c r="L23" s="7"/>
    </row>
    <row r="24" spans="2:13" x14ac:dyDescent="0.25">
      <c r="C24" t="s">
        <v>34</v>
      </c>
      <c r="D24" t="s">
        <v>35</v>
      </c>
    </row>
    <row r="25" spans="2:13" x14ac:dyDescent="0.25">
      <c r="B25">
        <v>1</v>
      </c>
      <c r="C25" s="7" t="e">
        <f>Blad3!F18</f>
        <v>#REF!</v>
      </c>
      <c r="D25" s="7" t="e">
        <f>G18</f>
        <v>#REF!</v>
      </c>
      <c r="F25" s="8" t="e">
        <f>C18*C25</f>
        <v>#REF!</v>
      </c>
      <c r="G25" s="8" t="e">
        <f>D25*C18</f>
        <v>#REF!</v>
      </c>
      <c r="H25" s="8"/>
    </row>
    <row r="26" spans="2:13" x14ac:dyDescent="0.25">
      <c r="B26">
        <v>2</v>
      </c>
      <c r="C26" s="7" t="e">
        <f>Blad3!F19</f>
        <v>#REF!</v>
      </c>
      <c r="D26" s="7" t="e">
        <f>G19</f>
        <v>#REF!</v>
      </c>
      <c r="E26" s="7"/>
      <c r="F26" s="8" t="e">
        <f>C19*C26</f>
        <v>#REF!</v>
      </c>
      <c r="G26" s="8" t="e">
        <f>D26*C19</f>
        <v>#REF!</v>
      </c>
      <c r="H26" s="8"/>
    </row>
    <row r="27" spans="2:13" x14ac:dyDescent="0.25">
      <c r="B27">
        <v>3</v>
      </c>
      <c r="C27" s="7" t="e">
        <f>Blad3!F20</f>
        <v>#REF!</v>
      </c>
      <c r="D27" s="7" t="e">
        <f>G20</f>
        <v>#REF!</v>
      </c>
      <c r="F27" s="8" t="e">
        <f t="shared" ref="F27" si="0">C20*C27</f>
        <v>#REF!</v>
      </c>
      <c r="G27" s="8" t="e">
        <f t="shared" ref="G27" si="1">D27*C20</f>
        <v>#REF!</v>
      </c>
      <c r="H27" s="8"/>
    </row>
    <row r="28" spans="2:13" x14ac:dyDescent="0.25">
      <c r="F28" s="8" t="e">
        <f>SUM(F25:F27)</f>
        <v>#REF!</v>
      </c>
      <c r="G28" s="8" t="e">
        <f>SUM(G25:G27)</f>
        <v>#REF!</v>
      </c>
      <c r="H28" s="8"/>
      <c r="I28" s="8"/>
      <c r="J28" s="8"/>
      <c r="K28" s="8"/>
    </row>
    <row r="32" spans="2:13" x14ac:dyDescent="0.25">
      <c r="B32" t="s">
        <v>110</v>
      </c>
      <c r="C32">
        <f>IF(D8&gt;0,-D10,D6)</f>
        <v>0</v>
      </c>
      <c r="D32">
        <f>IF(D8&gt;0,-D10,D6)</f>
        <v>0</v>
      </c>
    </row>
    <row r="34" spans="2:7" x14ac:dyDescent="0.25">
      <c r="C34" t="s">
        <v>4</v>
      </c>
      <c r="D34" t="s">
        <v>125</v>
      </c>
      <c r="E34" t="s">
        <v>126</v>
      </c>
    </row>
    <row r="35" spans="2:7" x14ac:dyDescent="0.25">
      <c r="B35" t="s">
        <v>37</v>
      </c>
    </row>
    <row r="36" spans="2:7" x14ac:dyDescent="0.25">
      <c r="B36" t="s">
        <v>38</v>
      </c>
      <c r="C36" t="e">
        <f>Rekentool!#REF!+Rekentool!#REF!+C32</f>
        <v>#REF!</v>
      </c>
      <c r="D36">
        <f>Rekentool!D52+D32</f>
        <v>58000</v>
      </c>
      <c r="E36">
        <f>Rekentool!G52+Blad3!D32</f>
        <v>70000</v>
      </c>
    </row>
    <row r="37" spans="2:7" x14ac:dyDescent="0.25">
      <c r="B37" t="s">
        <v>39</v>
      </c>
      <c r="C37" t="e">
        <f>Rekentool!#REF!</f>
        <v>#REF!</v>
      </c>
      <c r="D37">
        <f>(Rekentool!D54+Rekentool!D55)</f>
        <v>0</v>
      </c>
      <c r="E37">
        <f>(Rekentool!G54+Rekentool!G55)</f>
        <v>0</v>
      </c>
    </row>
    <row r="38" spans="2:7" x14ac:dyDescent="0.25">
      <c r="B38" t="s">
        <v>40</v>
      </c>
      <c r="C38" t="e">
        <f>C36+C37</f>
        <v>#REF!</v>
      </c>
      <c r="D38">
        <f>D36+D37</f>
        <v>58000</v>
      </c>
      <c r="E38">
        <f>E36+E37</f>
        <v>70000</v>
      </c>
    </row>
    <row r="40" spans="2:7" x14ac:dyDescent="0.25">
      <c r="B40" t="s">
        <v>41</v>
      </c>
      <c r="C40">
        <v>78426</v>
      </c>
      <c r="D40">
        <f>C40</f>
        <v>78426</v>
      </c>
      <c r="E40">
        <f>D40</f>
        <v>78426</v>
      </c>
    </row>
    <row r="42" spans="2:7" x14ac:dyDescent="0.25">
      <c r="B42" t="s">
        <v>42</v>
      </c>
      <c r="C42" t="e">
        <f>MIN((C38-C40),25618)</f>
        <v>#REF!</v>
      </c>
      <c r="D42">
        <f>MAX((D38-D40),0)</f>
        <v>0</v>
      </c>
      <c r="E42">
        <f>MAX((E38-E40),0)</f>
        <v>0</v>
      </c>
      <c r="F42">
        <v>19268.489000000001</v>
      </c>
      <c r="G42" t="e">
        <f>C42-F42</f>
        <v>#REF!</v>
      </c>
    </row>
    <row r="43" spans="2:7" x14ac:dyDescent="0.25">
      <c r="C43" s="22" t="e">
        <f>MAX((C38-C40-F20),0)</f>
        <v>#REF!</v>
      </c>
      <c r="D43" s="7">
        <f>MAX((D38-D40-L20),0)</f>
        <v>0</v>
      </c>
      <c r="E43" s="7">
        <f>MAX((E38-E40-M20),0)</f>
        <v>0</v>
      </c>
    </row>
    <row r="44" spans="2:7" x14ac:dyDescent="0.25">
      <c r="G44">
        <f>19333-19268</f>
        <v>65</v>
      </c>
    </row>
    <row r="45" spans="2:7" x14ac:dyDescent="0.25">
      <c r="B45" t="s">
        <v>43</v>
      </c>
      <c r="C45" s="4">
        <v>0.37480000000000002</v>
      </c>
      <c r="D45" s="4">
        <v>0.37480000000000002</v>
      </c>
      <c r="E45" s="4">
        <v>0.37480000000000002</v>
      </c>
    </row>
    <row r="46" spans="2:7" x14ac:dyDescent="0.25">
      <c r="B46" t="s">
        <v>44</v>
      </c>
      <c r="C46" s="4">
        <v>0.495</v>
      </c>
      <c r="D46" s="4">
        <v>0.495</v>
      </c>
      <c r="E46" s="4">
        <v>0.495</v>
      </c>
    </row>
    <row r="47" spans="2:7" x14ac:dyDescent="0.25">
      <c r="C47" s="4">
        <f>C46-C45</f>
        <v>0.12019999999999997</v>
      </c>
      <c r="D47" s="4">
        <f>D46-D45</f>
        <v>0.12019999999999997</v>
      </c>
      <c r="E47" s="4">
        <f>E46-E45</f>
        <v>0.12019999999999997</v>
      </c>
    </row>
    <row r="48" spans="2:7" x14ac:dyDescent="0.25">
      <c r="B48" t="s">
        <v>45</v>
      </c>
      <c r="C48" s="23" t="e">
        <f>C47*C43</f>
        <v>#REF!</v>
      </c>
      <c r="D48" s="6">
        <f>D47*D43</f>
        <v>0</v>
      </c>
      <c r="E48" s="6">
        <f>E47*E43</f>
        <v>0</v>
      </c>
    </row>
    <row r="50" spans="2:3" x14ac:dyDescent="0.25">
      <c r="C50" t="e">
        <f>C42*12.02%</f>
        <v>#REF!</v>
      </c>
    </row>
    <row r="64" spans="2:3" ht="17.25" thickBot="1" x14ac:dyDescent="0.3">
      <c r="B64" s="9" t="s">
        <v>47</v>
      </c>
    </row>
    <row r="65" spans="2:19" ht="17.25" thickBot="1" x14ac:dyDescent="0.3">
      <c r="B65" t="s">
        <v>53</v>
      </c>
      <c r="C65" t="s">
        <v>30</v>
      </c>
      <c r="D65" s="9" t="s">
        <v>2</v>
      </c>
      <c r="F65" t="s">
        <v>54</v>
      </c>
      <c r="G65" t="s">
        <v>55</v>
      </c>
      <c r="I65" t="s">
        <v>86</v>
      </c>
      <c r="J65" t="s">
        <v>127</v>
      </c>
      <c r="K65" t="s">
        <v>126</v>
      </c>
      <c r="M65" t="s">
        <v>4</v>
      </c>
      <c r="P65" t="s">
        <v>125</v>
      </c>
      <c r="Q65" t="s">
        <v>126</v>
      </c>
      <c r="R65" t="s">
        <v>128</v>
      </c>
      <c r="S65" t="s">
        <v>129</v>
      </c>
    </row>
    <row r="66" spans="2:19" ht="17.25" thickBot="1" x14ac:dyDescent="0.3">
      <c r="B66">
        <v>0</v>
      </c>
      <c r="C66" s="14">
        <v>11965</v>
      </c>
      <c r="D66" s="10" t="s">
        <v>48</v>
      </c>
      <c r="F66" s="6"/>
      <c r="G66" s="4">
        <v>8.3239999999999995E-2</v>
      </c>
      <c r="H66" s="4"/>
      <c r="I66" t="e">
        <f>Rekentool!#REF!+Rekentool!#REF!</f>
        <v>#REF!</v>
      </c>
      <c r="J66">
        <f>Rekentool!$D$52</f>
        <v>58000</v>
      </c>
      <c r="K66">
        <f>Rekentool!$G$52</f>
        <v>70000</v>
      </c>
      <c r="M66" s="13" t="e">
        <f>G66*I66</f>
        <v>#REF!</v>
      </c>
      <c r="N66">
        <f>IF(Rekentool!D15&lt;Blad3!C66,Blad3!M66,0)</f>
        <v>0</v>
      </c>
      <c r="P66" s="13">
        <f>J66*G66</f>
        <v>4827.92</v>
      </c>
      <c r="Q66" s="13">
        <f>G66*K66</f>
        <v>5826.7999999999993</v>
      </c>
      <c r="R66">
        <f>IF(J66&lt;Blad3!C66,Blad3!P66,0)</f>
        <v>0</v>
      </c>
      <c r="S66">
        <f>IF(K66&lt;Blad3!C66,Blad3!Q66,0)</f>
        <v>0</v>
      </c>
    </row>
    <row r="67" spans="2:19" ht="33.75" thickBot="1" x14ac:dyDescent="0.3">
      <c r="B67" s="9">
        <v>12169</v>
      </c>
      <c r="C67" s="6">
        <v>25845</v>
      </c>
      <c r="D67" s="10" t="s">
        <v>49</v>
      </c>
      <c r="F67" s="6">
        <v>996</v>
      </c>
      <c r="G67" s="4">
        <v>0.31008999999999998</v>
      </c>
      <c r="H67" s="4"/>
      <c r="I67" t="e">
        <f>Rekentool!#REF!+Rekentool!#REF!</f>
        <v>#REF!</v>
      </c>
      <c r="J67">
        <f>Rekentool!$D$52</f>
        <v>58000</v>
      </c>
      <c r="K67">
        <f>Rekentool!$G$52</f>
        <v>70000</v>
      </c>
      <c r="L67">
        <v>12169</v>
      </c>
      <c r="M67" s="13" t="e">
        <f>F67+(G67*(I67-L67))</f>
        <v>#REF!</v>
      </c>
      <c r="N67">
        <f>IF(AND(Rekentool!D15&gt;Blad3!C66,Rekentool!D15&lt;Blad3!C67),Blad3!M67,0)</f>
        <v>0</v>
      </c>
      <c r="P67" s="13">
        <f>F67+(G67*(J67-L67))</f>
        <v>15207.734789999999</v>
      </c>
      <c r="Q67" s="13">
        <f>F67+(G67*(K67-L67))</f>
        <v>18928.81479</v>
      </c>
      <c r="R67">
        <f>IF(AND(J67&gt;Blad3!C66=J67&lt;Blad3!C67),Blad3!P67,0)</f>
        <v>0</v>
      </c>
      <c r="S67" cm="1">
        <f t="array" ref="S67">IF(AND(K67&gt;Blad3!C66=K67&lt;Blad3!C67),Blad3!P=Q67,0)</f>
        <v>0</v>
      </c>
    </row>
    <row r="68" spans="2:19" ht="33.75" thickBot="1" x14ac:dyDescent="0.3">
      <c r="B68">
        <v>26288</v>
      </c>
      <c r="C68" s="6">
        <v>45592</v>
      </c>
      <c r="D68" s="10" t="s">
        <v>50</v>
      </c>
      <c r="F68" s="6">
        <v>5300</v>
      </c>
      <c r="G68" s="4">
        <v>1.95E-2</v>
      </c>
      <c r="H68" s="4"/>
      <c r="I68" t="e">
        <f>Rekentool!#REF!+Rekentool!#REF!</f>
        <v>#REF!</v>
      </c>
      <c r="J68">
        <f>Rekentool!$D$52</f>
        <v>58000</v>
      </c>
      <c r="K68">
        <f>Rekentool!$G$52</f>
        <v>70000</v>
      </c>
      <c r="L68">
        <v>26288</v>
      </c>
      <c r="M68" s="13" t="e">
        <f>F68-(G68*(I68-L68))</f>
        <v>#REF!</v>
      </c>
      <c r="N68">
        <f>IF(AND(Rekentool!D15&gt;Blad3!C67,Rekentool!D15&lt;Blad3!C68),Blad3!M68,0)</f>
        <v>0</v>
      </c>
      <c r="P68" s="13">
        <f>F68-(G68*(J68-L68))</f>
        <v>4681.616</v>
      </c>
      <c r="Q68" s="13">
        <f>F68-(G68*(K68-L68))</f>
        <v>4447.616</v>
      </c>
      <c r="R68">
        <f>IF(AND(J68&gt;Blad3!C67,J68&lt;Blad3!C68),Blad3!P68,0)</f>
        <v>0</v>
      </c>
      <c r="S68">
        <f>IF(AND(K68&gt;Blad3!C67,K68&lt;Blad3!C68),Blad3!Q68,0)</f>
        <v>0</v>
      </c>
    </row>
    <row r="69" spans="2:19" ht="33.75" thickBot="1" x14ac:dyDescent="0.3">
      <c r="B69" s="9">
        <v>45593</v>
      </c>
      <c r="C69" s="6">
        <v>132920</v>
      </c>
      <c r="D69" s="10" t="s">
        <v>51</v>
      </c>
      <c r="F69" s="6">
        <v>5685</v>
      </c>
      <c r="G69" s="4">
        <v>6.5100000000000005E-2</v>
      </c>
      <c r="H69" s="4"/>
      <c r="I69" t="e">
        <f>Rekentool!#REF!+Rekentool!#REF!</f>
        <v>#REF!</v>
      </c>
      <c r="J69">
        <f>Rekentool!$D$52</f>
        <v>58000</v>
      </c>
      <c r="K69">
        <f>Rekentool!$G$52</f>
        <v>70000</v>
      </c>
      <c r="L69" s="6">
        <f>C68</f>
        <v>45592</v>
      </c>
      <c r="M69" s="13" t="e">
        <f>F69-(G69*(I69-L69))</f>
        <v>#REF!</v>
      </c>
      <c r="N69" s="5" t="e">
        <f>IF(AND(Rekentool!D15&gt;Blad3!C68,Rekentool!D15&lt;Blad3!C69),Blad3!M69,0)</f>
        <v>#REF!</v>
      </c>
      <c r="P69" s="13">
        <f>MAX(F69-(G69*(J69-L69)),0)</f>
        <v>4877.2392</v>
      </c>
      <c r="Q69" s="13">
        <f>MAX(F69-(G69*(K69-L69)),0)</f>
        <v>4096.0392000000002</v>
      </c>
      <c r="R69">
        <f>IF(AND(J69&gt;Blad3!C68,J666&lt;Blad3!C69),Blad3!P69,0)</f>
        <v>4877.2392</v>
      </c>
      <c r="S69">
        <f>IF(AND(K69&gt;Blad3!C68,J666&lt;Blad3!C69),Blad3!Q69,0)</f>
        <v>4096.0392000000002</v>
      </c>
    </row>
    <row r="70" spans="2:19" ht="16.5" x14ac:dyDescent="0.25">
      <c r="B70">
        <v>129078</v>
      </c>
      <c r="D70" s="12" t="s">
        <v>52</v>
      </c>
    </row>
    <row r="71" spans="2:19" x14ac:dyDescent="0.25">
      <c r="L71" t="s">
        <v>2</v>
      </c>
      <c r="N71" t="e">
        <f>SUM(N66:N69)</f>
        <v>#REF!</v>
      </c>
      <c r="R71">
        <f>SUM(R66:R69)</f>
        <v>4877.2392</v>
      </c>
      <c r="S71">
        <f>SUM(S66:S69)</f>
        <v>4096.0392000000002</v>
      </c>
    </row>
    <row r="74" spans="2:19" x14ac:dyDescent="0.25">
      <c r="B74" t="s">
        <v>59</v>
      </c>
      <c r="C74" t="s">
        <v>4</v>
      </c>
      <c r="D74" t="s">
        <v>125</v>
      </c>
      <c r="E74" t="s">
        <v>126</v>
      </c>
    </row>
    <row r="76" spans="2:19" x14ac:dyDescent="0.25">
      <c r="B76" t="s">
        <v>60</v>
      </c>
      <c r="C76" t="e">
        <f>Rekentool!#REF!</f>
        <v>#REF!</v>
      </c>
      <c r="D76" s="16">
        <f>Rekentool!D61</f>
        <v>58000</v>
      </c>
      <c r="E76">
        <f>Rekentool!G61</f>
        <v>70000</v>
      </c>
    </row>
    <row r="77" spans="2:19" x14ac:dyDescent="0.25">
      <c r="B77" t="s">
        <v>61</v>
      </c>
      <c r="D77">
        <f>Rekentool!D88</f>
        <v>34020</v>
      </c>
      <c r="E77">
        <f>Rekentool!G88</f>
        <v>24300</v>
      </c>
    </row>
    <row r="78" spans="2:19" x14ac:dyDescent="0.25">
      <c r="B78" t="s">
        <v>62</v>
      </c>
      <c r="C78">
        <f>Rekentool!D23</f>
        <v>0</v>
      </c>
      <c r="D78">
        <f>Rekentool!D23</f>
        <v>0</v>
      </c>
      <c r="E78">
        <f>Rekentool!D23</f>
        <v>0</v>
      </c>
    </row>
    <row r="79" spans="2:19" x14ac:dyDescent="0.25">
      <c r="B79" t="s">
        <v>57</v>
      </c>
      <c r="C79" t="e">
        <f>C76+C77+C78</f>
        <v>#REF!</v>
      </c>
      <c r="D79" s="16">
        <f>D76+D77+D78</f>
        <v>92020</v>
      </c>
      <c r="E79" s="16">
        <f>E76+E77+E78</f>
        <v>94300</v>
      </c>
    </row>
    <row r="81" spans="2:21" x14ac:dyDescent="0.25">
      <c r="B81" s="15" t="s">
        <v>3</v>
      </c>
      <c r="O81" t="s">
        <v>4</v>
      </c>
      <c r="Q81" t="s">
        <v>125</v>
      </c>
      <c r="T81" t="s">
        <v>130</v>
      </c>
    </row>
    <row r="83" spans="2:21" ht="17.25" thickBot="1" x14ac:dyDescent="0.3">
      <c r="B83" t="s">
        <v>53</v>
      </c>
      <c r="C83" s="9" t="s">
        <v>30</v>
      </c>
      <c r="D83" s="9" t="s">
        <v>3</v>
      </c>
      <c r="E83" t="s">
        <v>54</v>
      </c>
      <c r="G83" t="s">
        <v>4</v>
      </c>
      <c r="H83" s="18" t="s">
        <v>125</v>
      </c>
      <c r="I83" s="18"/>
      <c r="J83" t="s">
        <v>126</v>
      </c>
      <c r="N83" t="s">
        <v>57</v>
      </c>
      <c r="O83" t="s">
        <v>58</v>
      </c>
      <c r="R83" t="s">
        <v>58</v>
      </c>
      <c r="U83" t="s">
        <v>58</v>
      </c>
    </row>
    <row r="84" spans="2:21" ht="17.25" thickBot="1" x14ac:dyDescent="0.3">
      <c r="C84" s="9">
        <v>29736</v>
      </c>
      <c r="D84" s="10">
        <v>3115</v>
      </c>
      <c r="E84">
        <v>3115</v>
      </c>
      <c r="G84" s="1"/>
      <c r="H84" s="56"/>
      <c r="I84" s="56"/>
      <c r="J84" s="1"/>
      <c r="K84" s="1"/>
      <c r="N84" s="1">
        <f>SUM(E84:I84)</f>
        <v>3115</v>
      </c>
      <c r="O84" s="1" t="e">
        <f>(IF(C79&lt;C84,Blad3!N84,0))</f>
        <v>#REF!</v>
      </c>
      <c r="Q84" s="1">
        <f>N84</f>
        <v>3115</v>
      </c>
      <c r="R84" s="1">
        <f>IF(D79&lt;C84,Blad3!Q84,0)</f>
        <v>0</v>
      </c>
      <c r="S84" s="1"/>
      <c r="T84" s="1">
        <f>Q84</f>
        <v>3115</v>
      </c>
      <c r="U84" s="1">
        <f>IF(E79&lt;C84,Blad3!Q84,0)</f>
        <v>0</v>
      </c>
    </row>
    <row r="85" spans="2:21" ht="33.75" thickBot="1" x14ac:dyDescent="0.3">
      <c r="B85">
        <v>29736</v>
      </c>
      <c r="C85" s="9">
        <v>78426</v>
      </c>
      <c r="D85" s="10" t="s">
        <v>56</v>
      </c>
      <c r="E85">
        <v>3115</v>
      </c>
      <c r="F85" s="4">
        <v>6.3979999999999995E-2</v>
      </c>
      <c r="G85" s="1" t="e">
        <f>C79</f>
        <v>#REF!</v>
      </c>
      <c r="H85" s="56">
        <f>D79</f>
        <v>92020</v>
      </c>
      <c r="I85" s="56">
        <v>29736</v>
      </c>
      <c r="J85" s="1">
        <f>E79</f>
        <v>94300</v>
      </c>
      <c r="K85" s="56">
        <v>29736</v>
      </c>
      <c r="N85" s="1" t="e">
        <f>E85-(F85*(G85-I85))</f>
        <v>#REF!</v>
      </c>
      <c r="O85" s="1" t="e">
        <f>IF(AND(C79&gt;C84,C79&lt;C85),Blad3!N85,0)</f>
        <v>#REF!</v>
      </c>
      <c r="Q85" s="16">
        <f>E85-(F85*(H85-I85))</f>
        <v>-869.93031999999948</v>
      </c>
      <c r="R85" s="1">
        <f>IF(AND(D79&gt;C84,D79&lt;C85),Blad3!Q85,0)</f>
        <v>0</v>
      </c>
      <c r="S85" s="1"/>
      <c r="T85" s="16">
        <f>E85-(F85*(J85-K85))</f>
        <v>-1015.8047200000001</v>
      </c>
      <c r="U85" s="1">
        <f>IF(AND(E79&gt;C84,E79&lt;C85),Blad3!T85,0)</f>
        <v>0</v>
      </c>
    </row>
    <row r="86" spans="2:21" ht="16.5" x14ac:dyDescent="0.25">
      <c r="B86">
        <v>78426</v>
      </c>
      <c r="C86" s="11"/>
      <c r="D86" s="12" t="s">
        <v>52</v>
      </c>
      <c r="E86">
        <v>0</v>
      </c>
      <c r="G86" s="1"/>
      <c r="H86" s="1"/>
      <c r="I86" s="1"/>
      <c r="J86" s="1"/>
      <c r="K86" s="1"/>
      <c r="N86" s="1">
        <v>0</v>
      </c>
      <c r="O86" s="1">
        <f>IF(Rekentool!D15&gt;C86,Blad3!N86,0)</f>
        <v>0</v>
      </c>
    </row>
    <row r="87" spans="2:21" x14ac:dyDescent="0.25">
      <c r="G87" s="1"/>
      <c r="H87" s="1"/>
      <c r="I87" s="1"/>
      <c r="J87" s="1"/>
      <c r="K87" s="1"/>
      <c r="N87" s="1"/>
      <c r="O87" s="1" t="e">
        <f>SUM(O84:O86)</f>
        <v>#REF!</v>
      </c>
      <c r="R87" s="56">
        <f>R84+R85</f>
        <v>0</v>
      </c>
      <c r="S87" s="1"/>
      <c r="U87" s="56">
        <f>U84+U85</f>
        <v>0</v>
      </c>
    </row>
    <row r="94" spans="2:21" x14ac:dyDescent="0.25">
      <c r="B94" t="s">
        <v>1</v>
      </c>
      <c r="C94" s="3">
        <v>-2123</v>
      </c>
    </row>
    <row r="98" spans="2:4" x14ac:dyDescent="0.25">
      <c r="B98" t="s">
        <v>76</v>
      </c>
      <c r="C98">
        <v>18475</v>
      </c>
    </row>
    <row r="100" spans="2:4" x14ac:dyDescent="0.25">
      <c r="C100" t="s">
        <v>4</v>
      </c>
      <c r="D100" t="s">
        <v>7</v>
      </c>
    </row>
    <row r="101" spans="2:4" x14ac:dyDescent="0.25">
      <c r="B101" t="s">
        <v>77</v>
      </c>
      <c r="C101">
        <f>Rekentool!D15</f>
        <v>100000</v>
      </c>
      <c r="D101">
        <f>Rekentool!D43</f>
        <v>58000</v>
      </c>
    </row>
    <row r="102" spans="2:4" x14ac:dyDescent="0.25">
      <c r="B102" t="s">
        <v>78</v>
      </c>
      <c r="C102">
        <f>C98</f>
        <v>18475</v>
      </c>
      <c r="D102">
        <f>C98</f>
        <v>18475</v>
      </c>
    </row>
    <row r="103" spans="2:4" x14ac:dyDescent="0.25">
      <c r="B103" t="s">
        <v>79</v>
      </c>
      <c r="C103">
        <f>C101-C102</f>
        <v>81525</v>
      </c>
      <c r="D103">
        <f>D101-D102</f>
        <v>39525</v>
      </c>
    </row>
    <row r="104" spans="2:4" x14ac:dyDescent="0.25">
      <c r="B104" t="s">
        <v>80</v>
      </c>
      <c r="C104">
        <f>C103*0.3</f>
        <v>24457.5</v>
      </c>
      <c r="D104">
        <f>D103*0.3</f>
        <v>11857.5</v>
      </c>
    </row>
    <row r="106" spans="2:4" x14ac:dyDescent="0.25">
      <c r="B106" t="s">
        <v>81</v>
      </c>
      <c r="C106">
        <v>35798</v>
      </c>
      <c r="D106">
        <v>35798</v>
      </c>
    </row>
    <row r="108" spans="2:4" x14ac:dyDescent="0.25">
      <c r="B108" t="s">
        <v>84</v>
      </c>
      <c r="C108">
        <f>MIN(C104,C106)</f>
        <v>24457.5</v>
      </c>
      <c r="D108">
        <f>MIN(D104,D106)</f>
        <v>11857.5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25539E-EA64-49F0-B34C-05F0921F3AD2}">
  <dimension ref="A1:A2"/>
  <sheetViews>
    <sheetView workbookViewId="0">
      <selection activeCell="A3" sqref="A3"/>
    </sheetView>
  </sheetViews>
  <sheetFormatPr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5</vt:i4>
      </vt:variant>
    </vt:vector>
  </HeadingPairs>
  <TitlesOfParts>
    <vt:vector size="5" baseType="lpstr">
      <vt:lpstr>Rekentool</vt:lpstr>
      <vt:lpstr>DGA salaris</vt:lpstr>
      <vt:lpstr>Blad4</vt:lpstr>
      <vt:lpstr>Blad3</vt:lpstr>
      <vt:lpstr>ja-nee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Bogaerds</dc:creator>
  <cp:lastModifiedBy>David Bogaerds</cp:lastModifiedBy>
  <dcterms:created xsi:type="dcterms:W3CDTF">2025-02-11T13:12:55Z</dcterms:created>
  <dcterms:modified xsi:type="dcterms:W3CDTF">2026-03-25T13:58:49Z</dcterms:modified>
</cp:coreProperties>
</file>